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workbookProtection workbookAlgorithmName="SHA-512" workbookHashValue="12Z6J5OA8MpQo5v9ULxD5Lin3anaVTFTE4AxR3hDtomI+REAQf6nik6kp8diJYpo8he5TjVnzQQst51URpXTRA==" workbookSpinCount="100000" workbookSaltValue="tFBq6aoSjFlyBCWAWc+KxQ==" lockStructure="1"/>
  <bookViews>
    <workbookView xWindow="0" yWindow="0" windowWidth="28800" windowHeight="12435" activeTab="3"/>
  </bookViews>
  <sheets>
    <sheet name="Base de dados" sheetId="7" r:id="rId1"/>
    <sheet name="Levedura de cerveja" sheetId="1" state="hidden" r:id="rId2"/>
    <sheet name="Provillus 4PET" sheetId="4" state="hidden" r:id="rId3"/>
    <sheet name="Valorização de matriz" sheetId="5" r:id="rId4"/>
    <sheet name="Goldsac" sheetId="2" state="hidden" r:id="rId5"/>
    <sheet name="Nucleobase 1.5" sheetId="3" state="hidden" r:id="rId6"/>
    <sheet name="Maximos" sheetId="6" state="hidden" r:id="rId7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2.xml><?xml version="1.0" encoding="utf-8"?>
<comments xmlns="http://schemas.openxmlformats.org/spreadsheetml/2006/main">
  <authors>
    <author>Mariana Quintino do Nascimento</author>
  </authors>
  <commentList>
    <comment ref="N4" authorId="0">
      <text>
        <r>
          <rPr>
            <b/>
            <sz val="9"/>
            <rFont val="Segoe UI"/>
            <family val="2"/>
          </rPr>
          <t>Mariana Quintino do Nascimento:</t>
        </r>
        <r>
          <rPr>
            <sz val="9"/>
            <rFont val="Segoe UI"/>
            <family val="2"/>
          </rPr>
          <t xml:space="preserve">
Consideramos 0 para a levedura de cerveja (está íntegra) </t>
        </r>
      </text>
    </comment>
    <comment ref="I5" authorId="0">
      <text>
        <r>
          <rPr>
            <b/>
            <sz val="9"/>
            <rFont val="Segoe UI"/>
            <family val="2"/>
          </rPr>
          <t>Mariana Quintino do Nascimento:</t>
        </r>
        <r>
          <rPr>
            <sz val="9"/>
            <rFont val="Segoe UI"/>
            <family val="2"/>
          </rPr>
          <t xml:space="preserve">
Considerei este valor porque não temos constância de resultados nos laudos</t>
        </r>
      </text>
    </comment>
  </commentList>
</comments>
</file>

<file path=xl/comments6.xml><?xml version="1.0" encoding="utf-8"?>
<comments xmlns="http://schemas.openxmlformats.org/spreadsheetml/2006/main">
  <authors>
    <author>Mariana Quintino do Nascimento</author>
  </authors>
  <commentList>
    <comment ref="H2" authorId="0">
      <text>
        <r>
          <rPr>
            <b/>
            <sz val="9"/>
            <rFont val="Segoe UI"/>
            <family val="2"/>
          </rPr>
          <t>Mariana Quintino do Nascimento:</t>
        </r>
        <r>
          <rPr>
            <sz val="9"/>
            <rFont val="Segoe UI"/>
            <family val="2"/>
          </rPr>
          <t xml:space="preserve">
Considerei que o Nucleobase não contribui com nada de MOS e beta. Multipliquei % de Sinergis que vai na fórmula do nucleobase 1.5 e a quantidade de MOS e beta glucanos totais que tem no Sinergis para chegar nestes valores</t>
        </r>
      </text>
    </comment>
  </commentList>
</comments>
</file>

<file path=xl/sharedStrings.xml><?xml version="1.0" encoding="utf-8"?>
<sst xmlns="http://schemas.openxmlformats.org/spreadsheetml/2006/main" count="277" uniqueCount="111">
  <si>
    <t>Aminoácidos totais</t>
  </si>
  <si>
    <t>%</t>
  </si>
  <si>
    <t>Isoleucina</t>
  </si>
  <si>
    <t>Leucina</t>
  </si>
  <si>
    <t>Prolina</t>
  </si>
  <si>
    <t>Triptofano</t>
  </si>
  <si>
    <t>Cistina</t>
  </si>
  <si>
    <t>Alanina</t>
  </si>
  <si>
    <t>Ácido Aspártico</t>
  </si>
  <si>
    <t>Ácido glutâmico</t>
  </si>
  <si>
    <t>Arginina</t>
  </si>
  <si>
    <t>Fenilalanina</t>
  </si>
  <si>
    <t>Glicina</t>
  </si>
  <si>
    <t>Histidina</t>
  </si>
  <si>
    <t>Lisina</t>
  </si>
  <si>
    <t>Metionina</t>
  </si>
  <si>
    <t>Serina</t>
  </si>
  <si>
    <t>Taurina</t>
  </si>
  <si>
    <t>Tirosina</t>
  </si>
  <si>
    <t>Treonina</t>
  </si>
  <si>
    <t>Valina</t>
  </si>
  <si>
    <t>Ácido aspártico</t>
  </si>
  <si>
    <t>MÉDIA</t>
  </si>
  <si>
    <t>Desvio padrão</t>
  </si>
  <si>
    <t xml:space="preserve">Lisina </t>
  </si>
  <si>
    <t>Aminácidos totais</t>
  </si>
  <si>
    <t>Energia Bruta</t>
  </si>
  <si>
    <t>Energia Bruta (Tabelas Brasileiras Aves e suínos 2017)</t>
  </si>
  <si>
    <t>Média</t>
  </si>
  <si>
    <t>Energia bruta (kcal/kg)</t>
  </si>
  <si>
    <t>MOS</t>
  </si>
  <si>
    <t xml:space="preserve">Wojcik, Roman. (2010). Effect of brewers' yeast (saccharomyces cerevisiae) extract on selected parameters of humoral and cellular immunity in Lambs. Bulletin- Veterinary Institute in Pulawy. 54. 181-187. </t>
  </si>
  <si>
    <t>Contribuição de PB</t>
  </si>
  <si>
    <t>PB</t>
  </si>
  <si>
    <t>Ano</t>
  </si>
  <si>
    <t>Contribuição Lisina</t>
  </si>
  <si>
    <t>2021 (10% de sorgo)</t>
  </si>
  <si>
    <t>AB0072</t>
  </si>
  <si>
    <t>AB0084</t>
  </si>
  <si>
    <t>AB0093</t>
  </si>
  <si>
    <t>AB0096</t>
  </si>
  <si>
    <t>AB0104</t>
  </si>
  <si>
    <t>AB0116</t>
  </si>
  <si>
    <t>AB0109</t>
  </si>
  <si>
    <t>AB0128</t>
  </si>
  <si>
    <t>AB0158</t>
  </si>
  <si>
    <t>AB0162</t>
  </si>
  <si>
    <t>AB0169</t>
  </si>
  <si>
    <t>AB0172</t>
  </si>
  <si>
    <t>AB0180</t>
  </si>
  <si>
    <t>Proporção de mistura</t>
  </si>
  <si>
    <t>Lote</t>
  </si>
  <si>
    <t>Nucleobase</t>
  </si>
  <si>
    <t xml:space="preserve">Sinergis </t>
  </si>
  <si>
    <t>Cálculo</t>
  </si>
  <si>
    <t>B-blucanos totais</t>
  </si>
  <si>
    <t>Beta-glucanos totais</t>
  </si>
  <si>
    <t>B-glucanos</t>
  </si>
  <si>
    <t>Contribuição Energia Bruta</t>
  </si>
  <si>
    <t>Contribuição Arginina</t>
  </si>
  <si>
    <t>Contribuição Cistina</t>
  </si>
  <si>
    <t>Contribuição Metionina</t>
  </si>
  <si>
    <t>Contribuição MOS</t>
  </si>
  <si>
    <t>Contribuição beta-glucanos</t>
  </si>
  <si>
    <t>Contribuição Histidina</t>
  </si>
  <si>
    <t>Hist</t>
  </si>
  <si>
    <t>Proteína Bruta</t>
  </si>
  <si>
    <t>Cálculo (proporções)</t>
  </si>
  <si>
    <t>MOS (%)</t>
  </si>
  <si>
    <t>EB (%)</t>
  </si>
  <si>
    <t>Arg (%)</t>
  </si>
  <si>
    <t>Lis (%)</t>
  </si>
  <si>
    <t>PB (%)</t>
  </si>
  <si>
    <t>Cis (%)</t>
  </si>
  <si>
    <t>Met (%)</t>
  </si>
  <si>
    <t>Extrato etéreo</t>
  </si>
  <si>
    <t>Tabelas 2017</t>
  </si>
  <si>
    <t>Contribuição Extrato etéreo</t>
  </si>
  <si>
    <t>EE (%)</t>
  </si>
  <si>
    <t>EE</t>
  </si>
  <si>
    <t>Não considerei</t>
  </si>
  <si>
    <t>Maximos</t>
  </si>
  <si>
    <t>Proteína Bruta (%)</t>
  </si>
  <si>
    <t>Extrato Etéreo (%)</t>
  </si>
  <si>
    <t>Energia Bruta (%)</t>
  </si>
  <si>
    <t>Matéria Mineral (%)</t>
  </si>
  <si>
    <t>Aminoácidos totais (%)</t>
  </si>
  <si>
    <t>β-glucanos totais (%)</t>
  </si>
  <si>
    <t>% a mais de LISINA</t>
  </si>
  <si>
    <t>% a mais de EB</t>
  </si>
  <si>
    <t xml:space="preserve">100% de Provillus 4PET contribui com </t>
  </si>
  <si>
    <t>% a mais de ARGININA</t>
  </si>
  <si>
    <t>% a mais de CISTINA</t>
  </si>
  <si>
    <t>100% de Provillus 4PET contribui com</t>
  </si>
  <si>
    <t>% a mais de METIONINA</t>
  </si>
  <si>
    <t>% a mais de EXTRATO ETÉREO</t>
  </si>
  <si>
    <t>% a mais de HISTIDINA</t>
  </si>
  <si>
    <t>Matéria mineral (%)</t>
  </si>
  <si>
    <t>% de MOS</t>
  </si>
  <si>
    <t>O Provillus 4PET contribui com</t>
  </si>
  <si>
    <t xml:space="preserve"> % de β-GLUCANOS totais</t>
  </si>
  <si>
    <t>Umidade (%)</t>
  </si>
  <si>
    <t>(kg/t)</t>
  </si>
  <si>
    <t xml:space="preserve">     % </t>
  </si>
  <si>
    <t xml:space="preserve">    % </t>
  </si>
  <si>
    <t>VALORIZAÇÃO</t>
  </si>
  <si>
    <t>Alimento com 1%
Levedura de Cerveja</t>
  </si>
  <si>
    <t>Alimento com  Parede Celular</t>
  </si>
  <si>
    <t>ß-glucanos (%)</t>
  </si>
  <si>
    <r>
      <t xml:space="preserve">100% de Provillus 4PET contribui com </t>
    </r>
    <r>
      <rPr>
        <b/>
        <sz val="14"/>
        <color theme="5" tint="-0.4999699890613556"/>
        <rFont val="Century Gothic"/>
        <family val="2"/>
      </rPr>
      <t xml:space="preserve"> </t>
    </r>
    <r>
      <rPr>
        <b/>
        <sz val="12"/>
        <color theme="5" tint="-0.4999699890613556"/>
        <rFont val="Century Gothic"/>
        <family val="2"/>
      </rPr>
      <t xml:space="preserve"> </t>
    </r>
  </si>
  <si>
    <t>100% de substituição do Provillus 4PET
não afeta a PB%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</si>
</sst>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Segoe UI"/>
      <family val="2"/>
    </font>
    <font>
      <b/>
      <sz val="9"/>
      <name val="Segoe UI"/>
      <family val="2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b/>
      <sz val="11"/>
      <color theme="5" tint="-0.4999699890613556"/>
      <name val="Century Gothic"/>
      <family val="2"/>
    </font>
    <font>
      <b/>
      <sz val="14"/>
      <color theme="5" tint="-0.4999699890613556"/>
      <name val="Century Gothic"/>
      <family val="2"/>
    </font>
    <font>
      <b/>
      <sz val="14"/>
      <color theme="5" tint="-0.24997000396251678"/>
      <name val="Century Gothic"/>
      <family val="2"/>
    </font>
    <font>
      <b/>
      <sz val="11"/>
      <color theme="5" tint="-0.24997000396251678"/>
      <name val="Century Gothic"/>
      <family val="2"/>
    </font>
    <font>
      <b/>
      <sz val="11"/>
      <color theme="9" tint="-0.24997000396251678"/>
      <name val="Century Gothic"/>
      <family val="2"/>
    </font>
    <font>
      <b/>
      <sz val="12"/>
      <color theme="5" tint="-0.4999699890613556"/>
      <name val="Century Gothic"/>
      <family val="2"/>
    </font>
    <font>
      <b/>
      <sz val="16"/>
      <color theme="5" tint="-0.4999699890613556"/>
      <name val="Century Gothic"/>
      <family val="2"/>
    </font>
    <font>
      <b/>
      <sz val="16"/>
      <color theme="1"/>
      <name val="Century Gothic"/>
      <family val="2"/>
    </font>
    <font>
      <b/>
      <sz val="10"/>
      <color theme="5" tint="-0.4999699890613556"/>
      <name val="Century Gothic"/>
      <family val="2"/>
    </font>
    <font>
      <b/>
      <sz val="11"/>
      <name val="Century Gothic"/>
      <family val="2"/>
    </font>
    <font>
      <sz val="11"/>
      <name val="Century Gothic"/>
      <family val="2"/>
    </font>
    <font>
      <b/>
      <sz val="8"/>
      <name val="Calibri"/>
      <family val="2"/>
    </font>
  </fonts>
  <fills count="12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 tint="0.7999799847602844"/>
        <bgColor indexed="64"/>
      </patternFill>
    </fill>
  </fills>
  <borders count="43">
    <border>
      <left/>
      <right/>
      <top/>
      <bottom/>
      <diagonal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thin"/>
      <right/>
      <top style="medium"/>
      <bottom style="thin"/>
    </border>
    <border>
      <left style="thin"/>
      <right style="thin"/>
      <top style="thin"/>
      <bottom/>
    </border>
    <border>
      <left/>
      <right/>
      <top style="medium"/>
      <bottom/>
    </border>
    <border>
      <left/>
      <right/>
      <top/>
      <bottom style="medium"/>
    </border>
    <border>
      <left style="medium"/>
      <right style="thin"/>
      <top style="thin"/>
      <bottom/>
    </border>
    <border>
      <left style="thin"/>
      <right/>
      <top style="thin"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2" fontId="0" fillId="2" borderId="0" xfId="0" applyNumberFormat="1" applyFill="1"/>
    <xf numFmtId="0" fontId="0" fillId="2" borderId="2" xfId="0" applyFill="1" applyBorder="1"/>
    <xf numFmtId="0" fontId="0" fillId="2" borderId="1" xfId="0" applyFill="1" applyBorder="1" applyAlignment="1">
      <alignment horizontal="center" vertical="center"/>
    </xf>
    <xf numFmtId="0" fontId="0" fillId="2" borderId="1" xfId="0" applyFill="1" applyBorder="1"/>
    <xf numFmtId="2" fontId="0" fillId="2" borderId="2" xfId="0" applyNumberFormat="1" applyFill="1" applyBorder="1"/>
    <xf numFmtId="0" fontId="0" fillId="2" borderId="0" xfId="0" applyFill="1" applyBorder="1" applyAlignment="1">
      <alignment horizontal="center"/>
    </xf>
    <xf numFmtId="165" fontId="0" fillId="2" borderId="1" xfId="0" applyNumberFormat="1" applyFill="1" applyBorder="1"/>
    <xf numFmtId="0" fontId="3" fillId="2" borderId="2" xfId="0" applyFont="1" applyFill="1" applyBorder="1"/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0" fillId="2" borderId="2" xfId="0" applyFill="1" applyBorder="1" applyAlignment="1">
      <alignment horizontal="center" vertical="center"/>
    </xf>
    <xf numFmtId="0" fontId="2" fillId="2" borderId="0" xfId="0" applyFont="1" applyFill="1"/>
    <xf numFmtId="0" fontId="0" fillId="2" borderId="0" xfId="0" applyFill="1" applyBorder="1"/>
    <xf numFmtId="2" fontId="0" fillId="2" borderId="1" xfId="0" applyNumberFormat="1" applyFill="1" applyBorder="1"/>
    <xf numFmtId="0" fontId="3" fillId="2" borderId="1" xfId="0" applyFont="1" applyFill="1" applyBorder="1"/>
    <xf numFmtId="0" fontId="3" fillId="2" borderId="2" xfId="0" applyFont="1" applyFill="1" applyBorder="1" applyAlignment="1">
      <alignment horizontal="right"/>
    </xf>
    <xf numFmtId="2" fontId="0" fillId="2" borderId="0" xfId="0" applyNumberFormat="1" applyFill="1" applyBorder="1"/>
    <xf numFmtId="0" fontId="2" fillId="2" borderId="2" xfId="0" applyFont="1" applyFill="1" applyBorder="1"/>
    <xf numFmtId="0" fontId="0" fillId="2" borderId="0" xfId="0" applyFill="1" applyBorder="1" applyAlignment="1">
      <alignment horizontal="center" vertical="center"/>
    </xf>
    <xf numFmtId="0" fontId="0" fillId="2" borderId="0" xfId="0" applyFont="1" applyFill="1" applyBorder="1"/>
    <xf numFmtId="0" fontId="0" fillId="2" borderId="2" xfId="0" applyFont="1" applyFill="1" applyBorder="1"/>
    <xf numFmtId="0" fontId="3" fillId="2" borderId="2" xfId="0" applyFont="1" applyFill="1" applyBorder="1" applyAlignment="1">
      <alignment horizontal="center"/>
    </xf>
    <xf numFmtId="0" fontId="0" fillId="3" borderId="0" xfId="0" applyFill="1"/>
    <xf numFmtId="0" fontId="6" fillId="2" borderId="0" xfId="0" applyFont="1" applyFill="1" applyProtection="1">
      <protection locked="0"/>
    </xf>
    <xf numFmtId="164" fontId="6" fillId="2" borderId="0" xfId="0" applyNumberFormat="1" applyFont="1" applyFill="1" applyProtection="1">
      <protection locked="0"/>
    </xf>
    <xf numFmtId="0" fontId="6" fillId="2" borderId="0" xfId="0" applyFont="1" applyFill="1" applyProtection="1">
      <protection/>
    </xf>
    <xf numFmtId="0" fontId="6" fillId="2" borderId="0" xfId="0" applyFont="1" applyFill="1" applyBorder="1" applyProtection="1">
      <protection/>
    </xf>
    <xf numFmtId="164" fontId="6" fillId="2" borderId="0" xfId="0" applyNumberFormat="1" applyFont="1" applyFill="1" applyProtection="1">
      <protection/>
    </xf>
    <xf numFmtId="2" fontId="6" fillId="2" borderId="0" xfId="0" applyNumberFormat="1" applyFont="1" applyFill="1" applyProtection="1">
      <protection locked="0"/>
    </xf>
    <xf numFmtId="0" fontId="6" fillId="2" borderId="0" xfId="0" applyFont="1" applyFill="1" applyAlignment="1" applyProtection="1">
      <alignment/>
      <protection/>
    </xf>
    <xf numFmtId="0" fontId="6" fillId="2" borderId="0" xfId="0" applyFont="1" applyFill="1" applyAlignment="1" applyProtection="1">
      <alignment horizontal="center"/>
      <protection/>
    </xf>
    <xf numFmtId="0" fontId="7" fillId="2" borderId="0" xfId="0" applyFont="1" applyFill="1" applyProtection="1">
      <protection/>
    </xf>
    <xf numFmtId="0" fontId="6" fillId="2" borderId="0" xfId="0" applyFont="1" applyFill="1" applyAlignment="1" applyProtection="1">
      <alignment vertical="center"/>
      <protection/>
    </xf>
    <xf numFmtId="0" fontId="6" fillId="2" borderId="3" xfId="0" applyFont="1" applyFill="1" applyBorder="1" applyProtection="1">
      <protection/>
    </xf>
    <xf numFmtId="164" fontId="7" fillId="4" borderId="3" xfId="0" applyNumberFormat="1" applyFont="1" applyFill="1" applyBorder="1" applyProtection="1">
      <protection locked="0"/>
    </xf>
    <xf numFmtId="165" fontId="7" fillId="4" borderId="3" xfId="0" applyNumberFormat="1" applyFont="1" applyFill="1" applyBorder="1" applyProtection="1">
      <protection locked="0"/>
    </xf>
    <xf numFmtId="0" fontId="11" fillId="2" borderId="4" xfId="0" applyFont="1" applyFill="1" applyBorder="1" applyAlignment="1" applyProtection="1">
      <alignment horizontal="center" wrapText="1"/>
      <protection/>
    </xf>
    <xf numFmtId="0" fontId="8" fillId="2" borderId="5" xfId="0" applyFont="1" applyFill="1" applyBorder="1" applyAlignment="1" applyProtection="1">
      <alignment horizontal="center" wrapText="1"/>
      <protection/>
    </xf>
    <xf numFmtId="0" fontId="6" fillId="5" borderId="6" xfId="0" applyFont="1" applyFill="1" applyBorder="1" applyAlignment="1" applyProtection="1">
      <alignment horizontal="center"/>
      <protection/>
    </xf>
    <xf numFmtId="0" fontId="6" fillId="5" borderId="7" xfId="0" applyFont="1" applyFill="1" applyBorder="1" applyAlignment="1" applyProtection="1">
      <alignment horizontal="center"/>
      <protection/>
    </xf>
    <xf numFmtId="0" fontId="6" fillId="5" borderId="8" xfId="0" applyFont="1" applyFill="1" applyBorder="1" applyAlignment="1" applyProtection="1">
      <alignment horizontal="center"/>
      <protection/>
    </xf>
    <xf numFmtId="2" fontId="6" fillId="5" borderId="6" xfId="0" applyNumberFormat="1" applyFont="1" applyFill="1" applyBorder="1" applyAlignment="1" applyProtection="1">
      <alignment horizontal="center"/>
      <protection/>
    </xf>
    <xf numFmtId="2" fontId="6" fillId="5" borderId="7" xfId="0" applyNumberFormat="1" applyFont="1" applyFill="1" applyBorder="1" applyAlignment="1" applyProtection="1">
      <alignment horizontal="center"/>
      <protection/>
    </xf>
    <xf numFmtId="2" fontId="6" fillId="5" borderId="8" xfId="0" applyNumberFormat="1" applyFont="1" applyFill="1" applyBorder="1" applyAlignment="1" applyProtection="1">
      <alignment horizontal="center"/>
      <protection/>
    </xf>
    <xf numFmtId="0" fontId="6" fillId="2" borderId="7" xfId="0" applyFont="1" applyFill="1" applyBorder="1" applyAlignment="1" applyProtection="1">
      <alignment horizontal="center"/>
      <protection/>
    </xf>
    <xf numFmtId="0" fontId="6" fillId="2" borderId="8" xfId="0" applyFont="1" applyFill="1" applyBorder="1" applyAlignment="1" applyProtection="1">
      <alignment horizontal="center"/>
      <protection/>
    </xf>
    <xf numFmtId="0" fontId="6" fillId="2" borderId="9" xfId="0" applyFont="1" applyFill="1" applyBorder="1" applyAlignment="1" applyProtection="1">
      <alignment horizontal="center"/>
      <protection/>
    </xf>
    <xf numFmtId="0" fontId="9" fillId="2" borderId="10" xfId="0" applyFont="1" applyFill="1" applyBorder="1" applyAlignment="1" applyProtection="1">
      <alignment horizontal="left" vertical="center" wrapText="1"/>
      <protection/>
    </xf>
    <xf numFmtId="0" fontId="10" fillId="2" borderId="10" xfId="0" applyFont="1" applyFill="1" applyBorder="1" applyAlignment="1" applyProtection="1">
      <alignment horizontal="left" vertical="center" wrapText="1"/>
      <protection/>
    </xf>
    <xf numFmtId="0" fontId="12" fillId="2" borderId="5" xfId="0" applyFont="1" applyFill="1" applyBorder="1" applyAlignment="1" applyProtection="1">
      <alignment horizontal="center" wrapText="1"/>
      <protection/>
    </xf>
    <xf numFmtId="0" fontId="6" fillId="2" borderId="11" xfId="0" applyFont="1" applyFill="1" applyBorder="1" applyAlignment="1" applyProtection="1">
      <alignment horizontal="center" vertical="center"/>
      <protection/>
    </xf>
    <xf numFmtId="0" fontId="6" fillId="2" borderId="10" xfId="0" applyFont="1" applyFill="1" applyBorder="1" applyAlignment="1" applyProtection="1">
      <alignment horizontal="center" vertical="center"/>
      <protection/>
    </xf>
    <xf numFmtId="0" fontId="6" fillId="2" borderId="0" xfId="0" applyFont="1" applyFill="1" applyAlignment="1" applyProtection="1">
      <alignment horizontal="center"/>
      <protection locked="0"/>
    </xf>
    <xf numFmtId="2" fontId="6" fillId="6" borderId="12" xfId="0" applyNumberFormat="1" applyFont="1" applyFill="1" applyBorder="1" applyAlignment="1" applyProtection="1">
      <alignment horizontal="center"/>
      <protection/>
    </xf>
    <xf numFmtId="2" fontId="6" fillId="6" borderId="13" xfId="0" applyNumberFormat="1" applyFont="1" applyFill="1" applyBorder="1" applyAlignment="1" applyProtection="1">
      <alignment horizontal="center"/>
      <protection/>
    </xf>
    <xf numFmtId="164" fontId="6" fillId="6" borderId="7" xfId="0" applyNumberFormat="1" applyFont="1" applyFill="1" applyBorder="1" applyAlignment="1" applyProtection="1">
      <alignment horizontal="center"/>
      <protection/>
    </xf>
    <xf numFmtId="164" fontId="6" fillId="6" borderId="8" xfId="0" applyNumberFormat="1" applyFont="1" applyFill="1" applyBorder="1" applyAlignment="1" applyProtection="1">
      <alignment horizontal="center"/>
      <protection/>
    </xf>
    <xf numFmtId="2" fontId="6" fillId="6" borderId="14" xfId="0" applyNumberFormat="1" applyFont="1" applyFill="1" applyBorder="1" applyAlignment="1" applyProtection="1">
      <alignment horizontal="center"/>
      <protection/>
    </xf>
    <xf numFmtId="164" fontId="6" fillId="6" borderId="9" xfId="0" applyNumberFormat="1" applyFont="1" applyFill="1" applyBorder="1" applyAlignment="1" applyProtection="1">
      <alignment horizontal="center"/>
      <protection/>
    </xf>
    <xf numFmtId="0" fontId="7" fillId="7" borderId="11" xfId="0" applyFont="1" applyFill="1" applyBorder="1" applyAlignment="1" applyProtection="1">
      <alignment horizontal="center"/>
      <protection locked="0"/>
    </xf>
    <xf numFmtId="2" fontId="7" fillId="7" borderId="15" xfId="0" applyNumberFormat="1" applyFont="1" applyFill="1" applyBorder="1" applyAlignment="1" applyProtection="1">
      <alignment horizontal="center"/>
      <protection locked="0"/>
    </xf>
    <xf numFmtId="0" fontId="14" fillId="7" borderId="11" xfId="0" applyFont="1" applyFill="1" applyBorder="1" applyAlignment="1" applyProtection="1">
      <alignment horizontal="center" vertical="center"/>
      <protection/>
    </xf>
    <xf numFmtId="0" fontId="14" fillId="7" borderId="16" xfId="0" applyFont="1" applyFill="1" applyBorder="1" applyAlignment="1" applyProtection="1">
      <alignment horizontal="center" vertical="center"/>
      <protection/>
    </xf>
    <xf numFmtId="164" fontId="6" fillId="6" borderId="2" xfId="0" applyNumberFormat="1" applyFont="1" applyFill="1" applyBorder="1" applyAlignment="1" applyProtection="1">
      <alignment horizontal="center"/>
      <protection/>
    </xf>
    <xf numFmtId="164" fontId="6" fillId="6" borderId="1" xfId="0" applyNumberFormat="1" applyFont="1" applyFill="1" applyBorder="1" applyAlignment="1" applyProtection="1">
      <alignment horizontal="center"/>
      <protection/>
    </xf>
    <xf numFmtId="164" fontId="6" fillId="6" borderId="17" xfId="0" applyNumberFormat="1" applyFont="1" applyFill="1" applyBorder="1" applyAlignment="1" applyProtection="1">
      <alignment horizontal="center"/>
      <protection/>
    </xf>
    <xf numFmtId="2" fontId="6" fillId="8" borderId="3" xfId="0" applyNumberFormat="1" applyFont="1" applyFill="1" applyBorder="1" applyAlignment="1" applyProtection="1">
      <alignment horizontal="center"/>
      <protection/>
    </xf>
    <xf numFmtId="0" fontId="14" fillId="7" borderId="15" xfId="0" applyFont="1" applyFill="1" applyBorder="1" applyAlignment="1" applyProtection="1">
      <alignment horizontal="center" vertical="center"/>
      <protection/>
    </xf>
    <xf numFmtId="0" fontId="6" fillId="8" borderId="18" xfId="0" applyFont="1" applyFill="1" applyBorder="1" applyAlignment="1" applyProtection="1">
      <alignment horizontal="center"/>
      <protection/>
    </xf>
    <xf numFmtId="0" fontId="6" fillId="8" borderId="19" xfId="0" applyFont="1" applyFill="1" applyBorder="1" applyAlignment="1" applyProtection="1">
      <alignment horizontal="center"/>
      <protection/>
    </xf>
    <xf numFmtId="2" fontId="6" fillId="8" borderId="20" xfId="0" applyNumberFormat="1" applyFont="1" applyFill="1" applyBorder="1" applyAlignment="1" applyProtection="1">
      <alignment horizontal="center"/>
      <protection/>
    </xf>
    <xf numFmtId="0" fontId="6" fillId="8" borderId="21" xfId="0" applyFont="1" applyFill="1" applyBorder="1" applyAlignment="1" applyProtection="1">
      <alignment horizontal="center"/>
      <protection/>
    </xf>
    <xf numFmtId="2" fontId="6" fillId="8" borderId="22" xfId="0" applyNumberFormat="1" applyFont="1" applyFill="1" applyBorder="1" applyAlignment="1" applyProtection="1">
      <alignment horizontal="center"/>
      <protection/>
    </xf>
    <xf numFmtId="0" fontId="15" fillId="7" borderId="16" xfId="0" applyFont="1" applyFill="1" applyBorder="1" applyAlignment="1" applyProtection="1">
      <alignment horizontal="center" vertical="center"/>
      <protection/>
    </xf>
    <xf numFmtId="0" fontId="6" fillId="2" borderId="0" xfId="0" applyFont="1" applyFill="1" applyBorder="1" applyProtection="1">
      <protection locked="0"/>
    </xf>
    <xf numFmtId="0" fontId="6" fillId="8" borderId="23" xfId="0" applyFont="1" applyFill="1" applyBorder="1" applyAlignment="1" applyProtection="1">
      <alignment horizontal="center"/>
      <protection/>
    </xf>
    <xf numFmtId="2" fontId="6" fillId="8" borderId="24" xfId="0" applyNumberFormat="1" applyFont="1" applyFill="1" applyBorder="1" applyAlignment="1" applyProtection="1">
      <alignment horizontal="center"/>
      <protection/>
    </xf>
    <xf numFmtId="2" fontId="6" fillId="8" borderId="25" xfId="0" applyNumberFormat="1" applyFont="1" applyFill="1" applyBorder="1" applyAlignment="1" applyProtection="1">
      <alignment horizontal="center"/>
      <protection/>
    </xf>
    <xf numFmtId="164" fontId="6" fillId="6" borderId="3" xfId="0" applyNumberFormat="1" applyFont="1" applyFill="1" applyBorder="1" applyAlignment="1" applyProtection="1">
      <alignment horizontal="center"/>
      <protection/>
    </xf>
    <xf numFmtId="164" fontId="6" fillId="6" borderId="18" xfId="0" applyNumberFormat="1" applyFont="1" applyFill="1" applyBorder="1" applyAlignment="1" applyProtection="1">
      <alignment horizontal="center"/>
      <protection/>
    </xf>
    <xf numFmtId="164" fontId="6" fillId="6" borderId="19" xfId="0" applyNumberFormat="1" applyFont="1" applyFill="1" applyBorder="1" applyAlignment="1" applyProtection="1">
      <alignment horizontal="center"/>
      <protection/>
    </xf>
    <xf numFmtId="164" fontId="6" fillId="6" borderId="20" xfId="0" applyNumberFormat="1" applyFont="1" applyFill="1" applyBorder="1" applyAlignment="1" applyProtection="1">
      <alignment horizontal="center"/>
      <protection/>
    </xf>
    <xf numFmtId="164" fontId="6" fillId="6" borderId="21" xfId="0" applyNumberFormat="1" applyFont="1" applyFill="1" applyBorder="1" applyAlignment="1" applyProtection="1">
      <alignment horizontal="center"/>
      <protection/>
    </xf>
    <xf numFmtId="164" fontId="6" fillId="6" borderId="22" xfId="0" applyNumberFormat="1" applyFont="1" applyFill="1" applyBorder="1" applyAlignment="1" applyProtection="1">
      <alignment horizontal="center"/>
      <protection/>
    </xf>
    <xf numFmtId="164" fontId="6" fillId="6" borderId="23" xfId="0" applyNumberFormat="1" applyFont="1" applyFill="1" applyBorder="1" applyAlignment="1" applyProtection="1">
      <alignment horizontal="center"/>
      <protection/>
    </xf>
    <xf numFmtId="164" fontId="6" fillId="6" borderId="24" xfId="0" applyNumberFormat="1" applyFont="1" applyFill="1" applyBorder="1" applyAlignment="1" applyProtection="1">
      <alignment horizontal="center"/>
      <protection/>
    </xf>
    <xf numFmtId="164" fontId="6" fillId="6" borderId="25" xfId="0" applyNumberFormat="1" applyFont="1" applyFill="1" applyBorder="1" applyAlignment="1" applyProtection="1">
      <alignment horizontal="center"/>
      <protection/>
    </xf>
    <xf numFmtId="164" fontId="6" fillId="9" borderId="18" xfId="0" applyNumberFormat="1" applyFont="1" applyFill="1" applyBorder="1" applyAlignment="1" applyProtection="1">
      <alignment horizontal="center"/>
      <protection/>
    </xf>
    <xf numFmtId="164" fontId="6" fillId="9" borderId="3" xfId="0" applyNumberFormat="1" applyFont="1" applyFill="1" applyBorder="1" applyAlignment="1" applyProtection="1">
      <alignment horizontal="center"/>
      <protection/>
    </xf>
    <xf numFmtId="164" fontId="6" fillId="9" borderId="24" xfId="0" applyNumberFormat="1" applyFont="1" applyFill="1" applyBorder="1" applyAlignment="1" applyProtection="1">
      <alignment horizontal="center"/>
      <protection/>
    </xf>
    <xf numFmtId="164" fontId="6" fillId="9" borderId="19" xfId="0" applyNumberFormat="1" applyFont="1" applyFill="1" applyBorder="1" applyAlignment="1" applyProtection="1">
      <alignment horizontal="center"/>
      <protection/>
    </xf>
    <xf numFmtId="164" fontId="6" fillId="9" borderId="20" xfId="0" applyNumberFormat="1" applyFont="1" applyFill="1" applyBorder="1" applyAlignment="1" applyProtection="1">
      <alignment horizontal="center"/>
      <protection/>
    </xf>
    <xf numFmtId="164" fontId="6" fillId="9" borderId="25" xfId="0" applyNumberFormat="1" applyFont="1" applyFill="1" applyBorder="1" applyAlignment="1" applyProtection="1">
      <alignment horizontal="center"/>
      <protection/>
    </xf>
    <xf numFmtId="164" fontId="6" fillId="10" borderId="21" xfId="0" applyNumberFormat="1" applyFont="1" applyFill="1" applyBorder="1" applyAlignment="1" applyProtection="1">
      <alignment horizontal="center"/>
      <protection/>
    </xf>
    <xf numFmtId="164" fontId="6" fillId="10" borderId="22" xfId="0" applyNumberFormat="1" applyFont="1" applyFill="1" applyBorder="1" applyAlignment="1" applyProtection="1">
      <alignment horizontal="center"/>
      <protection/>
    </xf>
    <xf numFmtId="164" fontId="6" fillId="10" borderId="23" xfId="0" applyNumberFormat="1" applyFont="1" applyFill="1" applyBorder="1" applyAlignment="1" applyProtection="1">
      <alignment horizontal="center"/>
      <protection/>
    </xf>
    <xf numFmtId="164" fontId="6" fillId="10" borderId="18" xfId="0" applyNumberFormat="1" applyFont="1" applyFill="1" applyBorder="1" applyAlignment="1" applyProtection="1">
      <alignment horizontal="center"/>
      <protection/>
    </xf>
    <xf numFmtId="164" fontId="6" fillId="10" borderId="3" xfId="0" applyNumberFormat="1" applyFont="1" applyFill="1" applyBorder="1" applyAlignment="1" applyProtection="1">
      <alignment horizontal="center"/>
      <protection/>
    </xf>
    <xf numFmtId="164" fontId="6" fillId="10" borderId="24" xfId="0" applyNumberFormat="1" applyFont="1" applyFill="1" applyBorder="1" applyAlignment="1" applyProtection="1">
      <alignment horizontal="center"/>
      <protection/>
    </xf>
    <xf numFmtId="164" fontId="6" fillId="10" borderId="19" xfId="0" applyNumberFormat="1" applyFont="1" applyFill="1" applyBorder="1" applyAlignment="1" applyProtection="1">
      <alignment horizontal="center"/>
      <protection/>
    </xf>
    <xf numFmtId="164" fontId="6" fillId="10" borderId="20" xfId="0" applyNumberFormat="1" applyFont="1" applyFill="1" applyBorder="1" applyAlignment="1" applyProtection="1">
      <alignment horizontal="center"/>
      <protection/>
    </xf>
    <xf numFmtId="164" fontId="6" fillId="10" borderId="25" xfId="0" applyNumberFormat="1" applyFont="1" applyFill="1" applyBorder="1" applyAlignment="1" applyProtection="1">
      <alignment horizontal="center"/>
      <protection/>
    </xf>
    <xf numFmtId="1" fontId="8" fillId="7" borderId="0" xfId="0" applyNumberFormat="1" applyFont="1" applyFill="1" applyBorder="1" applyAlignment="1" applyProtection="1">
      <alignment horizontal="center" vertical="center" wrapText="1"/>
      <protection/>
    </xf>
    <xf numFmtId="164" fontId="6" fillId="10" borderId="26" xfId="0" applyNumberFormat="1" applyFont="1" applyFill="1" applyBorder="1" applyAlignment="1" applyProtection="1">
      <alignment horizontal="center"/>
      <protection/>
    </xf>
    <xf numFmtId="164" fontId="6" fillId="10" borderId="27" xfId="0" applyNumberFormat="1" applyFont="1" applyFill="1" applyBorder="1" applyAlignment="1" applyProtection="1">
      <alignment horizontal="center"/>
      <protection/>
    </xf>
    <xf numFmtId="164" fontId="6" fillId="10" borderId="28" xfId="0" applyNumberFormat="1" applyFont="1" applyFill="1" applyBorder="1" applyAlignment="1" applyProtection="1">
      <alignment horizontal="center"/>
      <protection/>
    </xf>
    <xf numFmtId="164" fontId="6" fillId="10" borderId="29" xfId="0" applyNumberFormat="1" applyFont="1" applyFill="1" applyBorder="1" applyAlignment="1" applyProtection="1">
      <alignment horizontal="center"/>
      <protection/>
    </xf>
    <xf numFmtId="164" fontId="6" fillId="10" borderId="30" xfId="0" applyNumberFormat="1" applyFont="1" applyFill="1" applyBorder="1" applyAlignment="1" applyProtection="1">
      <alignment horizontal="center"/>
      <protection/>
    </xf>
    <xf numFmtId="164" fontId="6" fillId="11" borderId="26" xfId="0" applyNumberFormat="1" applyFont="1" applyFill="1" applyBorder="1" applyAlignment="1" applyProtection="1">
      <alignment horizontal="center"/>
      <protection/>
    </xf>
    <xf numFmtId="164" fontId="6" fillId="11" borderId="27" xfId="0" applyNumberFormat="1" applyFont="1" applyFill="1" applyBorder="1" applyAlignment="1" applyProtection="1">
      <alignment horizontal="center"/>
      <protection/>
    </xf>
    <xf numFmtId="164" fontId="6" fillId="11" borderId="18" xfId="0" applyNumberFormat="1" applyFont="1" applyFill="1" applyBorder="1" applyAlignment="1" applyProtection="1">
      <alignment horizontal="center"/>
      <protection/>
    </xf>
    <xf numFmtId="164" fontId="6" fillId="11" borderId="3" xfId="0" applyNumberFormat="1" applyFont="1" applyFill="1" applyBorder="1" applyAlignment="1" applyProtection="1">
      <alignment horizontal="center"/>
      <protection/>
    </xf>
    <xf numFmtId="164" fontId="6" fillId="11" borderId="19" xfId="0" applyNumberFormat="1" applyFont="1" applyFill="1" applyBorder="1" applyAlignment="1" applyProtection="1">
      <alignment horizontal="center"/>
      <protection/>
    </xf>
    <xf numFmtId="164" fontId="6" fillId="11" borderId="20" xfId="0" applyNumberFormat="1" applyFont="1" applyFill="1" applyBorder="1" applyAlignment="1" applyProtection="1">
      <alignment horizontal="center"/>
      <protection/>
    </xf>
    <xf numFmtId="164" fontId="6" fillId="9" borderId="26" xfId="0" applyNumberFormat="1" applyFont="1" applyFill="1" applyBorder="1" applyAlignment="1" applyProtection="1">
      <alignment horizontal="center"/>
      <protection/>
    </xf>
    <xf numFmtId="164" fontId="6" fillId="9" borderId="27" xfId="0" applyNumberFormat="1" applyFont="1" applyFill="1" applyBorder="1" applyAlignment="1" applyProtection="1">
      <alignment horizontal="center"/>
      <protection/>
    </xf>
    <xf numFmtId="2" fontId="8" fillId="7" borderId="31" xfId="0" applyNumberFormat="1" applyFont="1" applyFill="1" applyBorder="1" applyAlignment="1" applyProtection="1">
      <alignment horizontal="center" vertical="center" wrapText="1"/>
      <protection/>
    </xf>
    <xf numFmtId="2" fontId="8" fillId="6" borderId="32" xfId="0" applyNumberFormat="1" applyFont="1" applyFill="1" applyBorder="1" applyAlignment="1" applyProtection="1">
      <alignment horizontal="center" vertical="center" wrapText="1"/>
      <protection/>
    </xf>
    <xf numFmtId="0" fontId="8" fillId="8" borderId="32" xfId="0" applyFont="1" applyFill="1" applyBorder="1" applyAlignment="1" applyProtection="1">
      <alignment horizontal="center" vertical="center" wrapText="1"/>
      <protection/>
    </xf>
    <xf numFmtId="165" fontId="8" fillId="7" borderId="31" xfId="0" applyNumberFormat="1" applyFont="1" applyFill="1" applyBorder="1" applyAlignment="1" applyProtection="1">
      <alignment horizontal="center" vertical="center" wrapText="1"/>
      <protection/>
    </xf>
    <xf numFmtId="0" fontId="8" fillId="10" borderId="32" xfId="0" applyFont="1" applyFill="1" applyBorder="1" applyAlignment="1" applyProtection="1">
      <alignment horizontal="center" vertical="center" wrapText="1"/>
      <protection/>
    </xf>
    <xf numFmtId="164" fontId="6" fillId="9" borderId="33" xfId="0" applyNumberFormat="1" applyFont="1" applyFill="1" applyBorder="1" applyAlignment="1" applyProtection="1">
      <alignment horizontal="center"/>
      <protection/>
    </xf>
    <xf numFmtId="164" fontId="6" fillId="6" borderId="34" xfId="0" applyNumberFormat="1" applyFont="1" applyFill="1" applyBorder="1" applyAlignment="1" applyProtection="1">
      <alignment horizontal="center"/>
      <protection/>
    </xf>
    <xf numFmtId="1" fontId="8" fillId="7" borderId="35" xfId="0" applyNumberFormat="1" applyFont="1" applyFill="1" applyBorder="1" applyAlignment="1" applyProtection="1">
      <alignment horizontal="center" vertical="center" wrapText="1"/>
      <protection/>
    </xf>
    <xf numFmtId="0" fontId="8" fillId="9" borderId="36" xfId="0" applyFont="1" applyFill="1" applyBorder="1" applyAlignment="1" applyProtection="1">
      <alignment horizontal="center" vertical="center" wrapText="1"/>
      <protection/>
    </xf>
    <xf numFmtId="164" fontId="6" fillId="6" borderId="37" xfId="0" applyNumberFormat="1" applyFont="1" applyFill="1" applyBorder="1" applyAlignment="1" applyProtection="1">
      <alignment horizontal="center"/>
      <protection/>
    </xf>
    <xf numFmtId="164" fontId="6" fillId="6" borderId="38" xfId="0" applyNumberFormat="1" applyFont="1" applyFill="1" applyBorder="1" applyAlignment="1" applyProtection="1">
      <alignment horizontal="center"/>
      <protection/>
    </xf>
    <xf numFmtId="2" fontId="8" fillId="7" borderId="35" xfId="0" applyNumberFormat="1" applyFont="1" applyFill="1" applyBorder="1" applyAlignment="1" applyProtection="1">
      <alignment horizontal="center" vertical="center" wrapText="1"/>
      <protection/>
    </xf>
    <xf numFmtId="2" fontId="8" fillId="6" borderId="36" xfId="0" applyNumberFormat="1" applyFont="1" applyFill="1" applyBorder="1" applyAlignment="1" applyProtection="1">
      <alignment horizontal="center" vertical="center" wrapText="1"/>
      <protection/>
    </xf>
    <xf numFmtId="1" fontId="8" fillId="7" borderId="39" xfId="0" applyNumberFormat="1" applyFont="1" applyFill="1" applyBorder="1" applyAlignment="1" applyProtection="1">
      <alignment horizontal="center" vertical="center" wrapText="1"/>
      <protection/>
    </xf>
    <xf numFmtId="164" fontId="16" fillId="10" borderId="36" xfId="0" applyNumberFormat="1" applyFont="1" applyFill="1" applyBorder="1" applyAlignment="1" applyProtection="1">
      <alignment horizontal="center" vertical="center" wrapText="1"/>
      <protection/>
    </xf>
    <xf numFmtId="164" fontId="6" fillId="6" borderId="26" xfId="0" applyNumberFormat="1" applyFont="1" applyFill="1" applyBorder="1" applyAlignment="1" applyProtection="1">
      <alignment horizontal="center"/>
      <protection/>
    </xf>
    <xf numFmtId="164" fontId="6" fillId="6" borderId="27" xfId="0" applyNumberFormat="1" applyFont="1" applyFill="1" applyBorder="1" applyAlignment="1" applyProtection="1">
      <alignment horizontal="center"/>
      <protection/>
    </xf>
    <xf numFmtId="2" fontId="8" fillId="11" borderId="32" xfId="0" applyNumberFormat="1" applyFont="1" applyFill="1" applyBorder="1" applyAlignment="1" applyProtection="1">
      <alignment horizontal="center" vertical="center" wrapText="1"/>
      <protection/>
    </xf>
    <xf numFmtId="164" fontId="6" fillId="11" borderId="33" xfId="0" applyNumberFormat="1" applyFont="1" applyFill="1" applyBorder="1" applyAlignment="1" applyProtection="1">
      <alignment horizontal="center"/>
      <protection/>
    </xf>
    <xf numFmtId="164" fontId="6" fillId="11" borderId="24" xfId="0" applyNumberFormat="1" applyFont="1" applyFill="1" applyBorder="1" applyAlignment="1" applyProtection="1">
      <alignment horizontal="center"/>
      <protection/>
    </xf>
    <xf numFmtId="164" fontId="6" fillId="11" borderId="25" xfId="0" applyNumberFormat="1" applyFont="1" applyFill="1" applyBorder="1" applyAlignment="1" applyProtection="1">
      <alignment horizontal="center"/>
      <protection/>
    </xf>
    <xf numFmtId="0" fontId="6" fillId="2" borderId="40" xfId="0" applyFont="1" applyFill="1" applyBorder="1" applyAlignment="1" applyProtection="1">
      <alignment horizontal="center" vertical="center"/>
      <protection/>
    </xf>
    <xf numFmtId="0" fontId="6" fillId="2" borderId="41" xfId="0" applyFont="1" applyFill="1" applyBorder="1" applyAlignment="1" applyProtection="1">
      <alignment horizontal="center" vertical="center"/>
      <protection/>
    </xf>
    <xf numFmtId="164" fontId="8" fillId="7" borderId="31" xfId="0" applyNumberFormat="1" applyFont="1" applyFill="1" applyBorder="1" applyAlignment="1" applyProtection="1">
      <alignment horizontal="center" vertical="center"/>
      <protection locked="0"/>
    </xf>
    <xf numFmtId="164" fontId="6" fillId="6" borderId="33" xfId="0" applyNumberFormat="1" applyFont="1" applyFill="1" applyBorder="1" applyAlignment="1" applyProtection="1">
      <alignment horizontal="center"/>
      <protection/>
    </xf>
    <xf numFmtId="0" fontId="15" fillId="7" borderId="11" xfId="0" applyFont="1" applyFill="1" applyBorder="1" applyAlignment="1" applyProtection="1">
      <alignment horizontal="center" vertical="center"/>
      <protection/>
    </xf>
    <xf numFmtId="164" fontId="8" fillId="7" borderId="35" xfId="0" applyNumberFormat="1" applyFont="1" applyFill="1" applyBorder="1" applyAlignment="1" applyProtection="1">
      <alignment horizontal="center" vertical="center"/>
      <protection locked="0"/>
    </xf>
    <xf numFmtId="0" fontId="8" fillId="6" borderId="36" xfId="0" applyFont="1" applyFill="1" applyBorder="1" applyAlignment="1" applyProtection="1">
      <alignment horizontal="center" vertical="center"/>
      <protection locked="0"/>
    </xf>
    <xf numFmtId="0" fontId="8" fillId="10" borderId="32" xfId="0" applyFont="1" applyFill="1" applyBorder="1" applyAlignment="1" applyProtection="1">
      <alignment horizontal="center" vertical="center" wrapText="1"/>
      <protection locked="0"/>
    </xf>
    <xf numFmtId="0" fontId="9" fillId="7" borderId="16" xfId="0" applyFont="1" applyFill="1" applyBorder="1" applyAlignment="1" applyProtection="1">
      <alignment horizontal="center" vertical="center"/>
      <protection/>
    </xf>
    <xf numFmtId="2" fontId="18" fillId="10" borderId="9" xfId="0" applyNumberFormat="1" applyFont="1" applyFill="1" applyBorder="1" applyAlignment="1" applyProtection="1">
      <alignment horizontal="center" vertical="center"/>
      <protection/>
    </xf>
    <xf numFmtId="164" fontId="18" fillId="10" borderId="9" xfId="0" applyNumberFormat="1" applyFont="1" applyFill="1" applyBorder="1" applyAlignment="1" applyProtection="1">
      <alignment horizontal="center"/>
      <protection/>
    </xf>
    <xf numFmtId="164" fontId="18" fillId="10" borderId="14" xfId="0" applyNumberFormat="1" applyFont="1" applyFill="1" applyBorder="1" applyAlignment="1" applyProtection="1">
      <alignment horizontal="center"/>
      <protection/>
    </xf>
    <xf numFmtId="2" fontId="18" fillId="10" borderId="7" xfId="0" applyNumberFormat="1" applyFont="1" applyFill="1" applyBorder="1" applyAlignment="1" applyProtection="1">
      <alignment horizontal="center" vertical="center"/>
      <protection/>
    </xf>
    <xf numFmtId="164" fontId="18" fillId="10" borderId="7" xfId="0" applyNumberFormat="1" applyFont="1" applyFill="1" applyBorder="1" applyAlignment="1" applyProtection="1">
      <alignment horizontal="center"/>
      <protection/>
    </xf>
    <xf numFmtId="164" fontId="18" fillId="10" borderId="12" xfId="0" applyNumberFormat="1" applyFont="1" applyFill="1" applyBorder="1" applyAlignment="1" applyProtection="1">
      <alignment horizontal="center"/>
      <protection/>
    </xf>
    <xf numFmtId="2" fontId="18" fillId="10" borderId="8" xfId="0" applyNumberFormat="1" applyFont="1" applyFill="1" applyBorder="1" applyAlignment="1" applyProtection="1">
      <alignment horizontal="center" vertical="center"/>
      <protection/>
    </xf>
    <xf numFmtId="164" fontId="18" fillId="10" borderId="8" xfId="0" applyNumberFormat="1" applyFont="1" applyFill="1" applyBorder="1" applyAlignment="1" applyProtection="1">
      <alignment horizontal="center"/>
      <protection/>
    </xf>
    <xf numFmtId="164" fontId="17" fillId="10" borderId="13" xfId="0" applyNumberFormat="1" applyFont="1" applyFill="1" applyBorder="1" applyAlignment="1" applyProtection="1">
      <alignment horizontal="center"/>
      <protection/>
    </xf>
    <xf numFmtId="0" fontId="7" fillId="2" borderId="0" xfId="0" applyFont="1" applyFill="1" applyBorder="1" applyAlignment="1" applyProtection="1">
      <alignment horizontal="center"/>
      <protection locked="0"/>
    </xf>
    <xf numFmtId="0" fontId="7" fillId="2" borderId="0" xfId="0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8" fillId="6" borderId="11" xfId="0" applyFont="1" applyFill="1" applyBorder="1" applyAlignment="1" applyProtection="1">
      <alignment horizontal="center" vertical="center"/>
      <protection/>
    </xf>
    <xf numFmtId="0" fontId="8" fillId="6" borderId="15" xfId="0" applyFont="1" applyFill="1" applyBorder="1" applyAlignment="1" applyProtection="1">
      <alignment horizontal="center" vertical="center"/>
      <protection/>
    </xf>
    <xf numFmtId="0" fontId="8" fillId="10" borderId="11" xfId="0" applyFont="1" applyFill="1" applyBorder="1" applyAlignment="1" applyProtection="1">
      <alignment horizontal="center" vertical="center"/>
      <protection/>
    </xf>
    <xf numFmtId="0" fontId="8" fillId="10" borderId="15" xfId="0" applyFont="1" applyFill="1" applyBorder="1" applyAlignment="1" applyProtection="1">
      <alignment horizontal="center" vertical="center"/>
      <protection/>
    </xf>
    <xf numFmtId="0" fontId="8" fillId="10" borderId="16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right" vertical="top"/>
      <protection locked="0"/>
    </xf>
    <xf numFmtId="0" fontId="8" fillId="6" borderId="35" xfId="0" applyFont="1" applyFill="1" applyBorder="1" applyAlignment="1" applyProtection="1">
      <alignment horizontal="right" vertical="top"/>
      <protection locked="0"/>
    </xf>
    <xf numFmtId="0" fontId="8" fillId="6" borderId="40" xfId="0" applyFont="1" applyFill="1" applyBorder="1" applyAlignment="1" applyProtection="1">
      <alignment horizontal="right" vertical="top"/>
      <protection locked="0"/>
    </xf>
    <xf numFmtId="0" fontId="8" fillId="6" borderId="36" xfId="0" applyFont="1" applyFill="1" applyBorder="1" applyAlignment="1" applyProtection="1">
      <alignment horizontal="right" vertical="top"/>
      <protection locked="0"/>
    </xf>
    <xf numFmtId="0" fontId="8" fillId="10" borderId="5" xfId="0" applyFont="1" applyFill="1" applyBorder="1" applyAlignment="1" applyProtection="1">
      <alignment horizontal="right" vertical="top"/>
      <protection locked="0"/>
    </xf>
    <xf numFmtId="0" fontId="8" fillId="10" borderId="35" xfId="0" applyFont="1" applyFill="1" applyBorder="1" applyAlignment="1" applyProtection="1">
      <alignment horizontal="right" vertical="top"/>
      <protection locked="0"/>
    </xf>
    <xf numFmtId="0" fontId="8" fillId="10" borderId="40" xfId="0" applyFont="1" applyFill="1" applyBorder="1" applyAlignment="1" applyProtection="1">
      <alignment horizontal="right" vertical="top"/>
      <protection locked="0"/>
    </xf>
    <xf numFmtId="0" fontId="8" fillId="10" borderId="36" xfId="0" applyFont="1" applyFill="1" applyBorder="1" applyAlignment="1" applyProtection="1">
      <alignment horizontal="right" vertical="top"/>
      <protection locked="0"/>
    </xf>
    <xf numFmtId="0" fontId="8" fillId="11" borderId="11" xfId="0" applyFont="1" applyFill="1" applyBorder="1" applyAlignment="1" applyProtection="1">
      <alignment horizontal="center" vertical="center"/>
      <protection/>
    </xf>
    <xf numFmtId="0" fontId="8" fillId="11" borderId="15" xfId="0" applyFont="1" applyFill="1" applyBorder="1" applyAlignment="1" applyProtection="1">
      <alignment horizontal="center" vertical="center"/>
      <protection/>
    </xf>
    <xf numFmtId="0" fontId="8" fillId="11" borderId="16" xfId="0" applyFont="1" applyFill="1" applyBorder="1" applyAlignment="1" applyProtection="1">
      <alignment horizontal="center" vertical="center"/>
      <protection/>
    </xf>
    <xf numFmtId="2" fontId="8" fillId="11" borderId="42" xfId="0" applyNumberFormat="1" applyFont="1" applyFill="1" applyBorder="1" applyAlignment="1" applyProtection="1">
      <alignment horizontal="right" vertical="top" wrapText="1"/>
      <protection/>
    </xf>
    <xf numFmtId="2" fontId="8" fillId="11" borderId="0" xfId="0" applyNumberFormat="1" applyFont="1" applyFill="1" applyBorder="1" applyAlignment="1" applyProtection="1">
      <alignment horizontal="right" vertical="top" wrapText="1"/>
      <protection/>
    </xf>
    <xf numFmtId="2" fontId="8" fillId="11" borderId="40" xfId="0" applyNumberFormat="1" applyFont="1" applyFill="1" applyBorder="1" applyAlignment="1" applyProtection="1">
      <alignment horizontal="right" vertical="top" wrapText="1"/>
      <protection/>
    </xf>
    <xf numFmtId="2" fontId="8" fillId="11" borderId="36" xfId="0" applyNumberFormat="1" applyFont="1" applyFill="1" applyBorder="1" applyAlignment="1" applyProtection="1">
      <alignment horizontal="right" vertical="top" wrapText="1"/>
      <protection/>
    </xf>
    <xf numFmtId="0" fontId="9" fillId="2" borderId="11" xfId="0" applyFont="1" applyFill="1" applyBorder="1" applyAlignment="1" applyProtection="1">
      <alignment horizontal="center" vertical="center"/>
      <protection/>
    </xf>
    <xf numFmtId="0" fontId="9" fillId="2" borderId="16" xfId="0" applyFont="1" applyFill="1" applyBorder="1" applyAlignment="1" applyProtection="1">
      <alignment horizontal="center" vertical="center"/>
      <protection/>
    </xf>
    <xf numFmtId="0" fontId="8" fillId="5" borderId="11" xfId="0" applyFont="1" applyFill="1" applyBorder="1" applyAlignment="1" applyProtection="1">
      <alignment horizontal="center" vertical="center" wrapText="1"/>
      <protection/>
    </xf>
    <xf numFmtId="0" fontId="8" fillId="5" borderId="16" xfId="0" applyFont="1" applyFill="1" applyBorder="1" applyAlignment="1" applyProtection="1">
      <alignment horizontal="center" vertical="center" wrapText="1"/>
      <protection/>
    </xf>
    <xf numFmtId="0" fontId="13" fillId="10" borderId="11" xfId="0" applyFont="1" applyFill="1" applyBorder="1" applyAlignment="1" applyProtection="1">
      <alignment horizontal="center" vertical="center"/>
      <protection/>
    </xf>
    <xf numFmtId="0" fontId="13" fillId="10" borderId="15" xfId="0" applyFont="1" applyFill="1" applyBorder="1" applyAlignment="1" applyProtection="1">
      <alignment horizontal="center" vertical="center"/>
      <protection/>
    </xf>
    <xf numFmtId="0" fontId="13" fillId="10" borderId="16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/>
      <protection/>
    </xf>
    <xf numFmtId="0" fontId="8" fillId="6" borderId="35" xfId="0" applyFont="1" applyFill="1" applyBorder="1" applyAlignment="1" applyProtection="1">
      <alignment horizontal="center" vertical="center"/>
      <protection/>
    </xf>
    <xf numFmtId="0" fontId="8" fillId="8" borderId="11" xfId="0" applyFont="1" applyFill="1" applyBorder="1" applyAlignment="1" applyProtection="1">
      <alignment horizontal="center" vertical="center"/>
      <protection/>
    </xf>
    <xf numFmtId="0" fontId="8" fillId="8" borderId="15" xfId="0" applyFont="1" applyFill="1" applyBorder="1" applyAlignment="1" applyProtection="1">
      <alignment horizontal="center" vertical="center"/>
      <protection/>
    </xf>
    <xf numFmtId="0" fontId="8" fillId="8" borderId="16" xfId="0" applyFont="1" applyFill="1" applyBorder="1" applyAlignment="1" applyProtection="1">
      <alignment horizontal="center" vertical="center"/>
      <protection/>
    </xf>
    <xf numFmtId="0" fontId="8" fillId="10" borderId="5" xfId="0" applyFont="1" applyFill="1" applyBorder="1" applyAlignment="1" applyProtection="1">
      <alignment horizontal="right" vertical="top" wrapText="1"/>
      <protection/>
    </xf>
    <xf numFmtId="0" fontId="8" fillId="10" borderId="35" xfId="0" applyFont="1" applyFill="1" applyBorder="1" applyAlignment="1" applyProtection="1">
      <alignment horizontal="right" vertical="top" wrapText="1"/>
      <protection/>
    </xf>
    <xf numFmtId="0" fontId="8" fillId="10" borderId="40" xfId="0" applyFont="1" applyFill="1" applyBorder="1" applyAlignment="1" applyProtection="1">
      <alignment horizontal="right" vertical="top" wrapText="1"/>
      <protection/>
    </xf>
    <xf numFmtId="0" fontId="8" fillId="10" borderId="36" xfId="0" applyFont="1" applyFill="1" applyBorder="1" applyAlignment="1" applyProtection="1">
      <alignment horizontal="right" vertical="top" wrapText="1"/>
      <protection/>
    </xf>
    <xf numFmtId="2" fontId="8" fillId="9" borderId="5" xfId="0" applyNumberFormat="1" applyFont="1" applyFill="1" applyBorder="1" applyAlignment="1" applyProtection="1">
      <alignment horizontal="right" vertical="top" wrapText="1"/>
      <protection/>
    </xf>
    <xf numFmtId="2" fontId="8" fillId="9" borderId="35" xfId="0" applyNumberFormat="1" applyFont="1" applyFill="1" applyBorder="1" applyAlignment="1" applyProtection="1">
      <alignment horizontal="right" vertical="top" wrapText="1"/>
      <protection/>
    </xf>
    <xf numFmtId="2" fontId="8" fillId="9" borderId="40" xfId="0" applyNumberFormat="1" applyFont="1" applyFill="1" applyBorder="1" applyAlignment="1" applyProtection="1">
      <alignment horizontal="right" vertical="top" wrapText="1"/>
      <protection/>
    </xf>
    <xf numFmtId="2" fontId="8" fillId="9" borderId="36" xfId="0" applyNumberFormat="1" applyFont="1" applyFill="1" applyBorder="1" applyAlignment="1" applyProtection="1">
      <alignment horizontal="right" vertical="top" wrapText="1"/>
      <protection/>
    </xf>
    <xf numFmtId="2" fontId="8" fillId="6" borderId="5" xfId="0" applyNumberFormat="1" applyFont="1" applyFill="1" applyBorder="1" applyAlignment="1" applyProtection="1">
      <alignment horizontal="right" vertical="top" wrapText="1"/>
      <protection/>
    </xf>
    <xf numFmtId="2" fontId="8" fillId="6" borderId="35" xfId="0" applyNumberFormat="1" applyFont="1" applyFill="1" applyBorder="1" applyAlignment="1" applyProtection="1">
      <alignment horizontal="right" vertical="top" wrapText="1"/>
      <protection/>
    </xf>
    <xf numFmtId="2" fontId="8" fillId="6" borderId="40" xfId="0" applyNumberFormat="1" applyFont="1" applyFill="1" applyBorder="1" applyAlignment="1" applyProtection="1">
      <alignment horizontal="right" vertical="top" wrapText="1"/>
      <protection/>
    </xf>
    <xf numFmtId="2" fontId="8" fillId="6" borderId="36" xfId="0" applyNumberFormat="1" applyFont="1" applyFill="1" applyBorder="1" applyAlignment="1" applyProtection="1">
      <alignment horizontal="right" vertical="top" wrapText="1"/>
      <protection/>
    </xf>
    <xf numFmtId="164" fontId="8" fillId="10" borderId="42" xfId="0" applyNumberFormat="1" applyFont="1" applyFill="1" applyBorder="1" applyAlignment="1" applyProtection="1">
      <alignment horizontal="right" vertical="top" wrapText="1"/>
      <protection/>
    </xf>
    <xf numFmtId="164" fontId="8" fillId="10" borderId="0" xfId="0" applyNumberFormat="1" applyFont="1" applyFill="1" applyBorder="1" applyAlignment="1" applyProtection="1">
      <alignment horizontal="right" vertical="top" wrapText="1"/>
      <protection/>
    </xf>
    <xf numFmtId="164" fontId="8" fillId="10" borderId="40" xfId="0" applyNumberFormat="1" applyFont="1" applyFill="1" applyBorder="1" applyAlignment="1" applyProtection="1">
      <alignment horizontal="right" vertical="top" wrapText="1"/>
      <protection/>
    </xf>
    <xf numFmtId="164" fontId="8" fillId="10" borderId="36" xfId="0" applyNumberFormat="1" applyFont="1" applyFill="1" applyBorder="1" applyAlignment="1" applyProtection="1">
      <alignment horizontal="right" vertical="top" wrapText="1"/>
      <protection/>
    </xf>
    <xf numFmtId="2" fontId="8" fillId="10" borderId="5" xfId="0" applyNumberFormat="1" applyFont="1" applyFill="1" applyBorder="1" applyAlignment="1" applyProtection="1">
      <alignment horizontal="center" vertical="center" wrapText="1"/>
      <protection/>
    </xf>
    <xf numFmtId="2" fontId="8" fillId="10" borderId="35" xfId="0" applyNumberFormat="1" applyFont="1" applyFill="1" applyBorder="1" applyAlignment="1" applyProtection="1">
      <alignment horizontal="center" vertical="center" wrapText="1"/>
      <protection/>
    </xf>
    <xf numFmtId="2" fontId="8" fillId="10" borderId="31" xfId="0" applyNumberFormat="1" applyFont="1" applyFill="1" applyBorder="1" applyAlignment="1" applyProtection="1">
      <alignment horizontal="center" vertical="center" wrapText="1"/>
      <protection/>
    </xf>
    <xf numFmtId="2" fontId="8" fillId="10" borderId="40" xfId="0" applyNumberFormat="1" applyFont="1" applyFill="1" applyBorder="1" applyAlignment="1" applyProtection="1">
      <alignment horizontal="center" vertical="center" wrapText="1"/>
      <protection/>
    </xf>
    <xf numFmtId="2" fontId="8" fillId="10" borderId="36" xfId="0" applyNumberFormat="1" applyFont="1" applyFill="1" applyBorder="1" applyAlignment="1" applyProtection="1">
      <alignment horizontal="center" vertical="center" wrapText="1"/>
      <protection/>
    </xf>
    <xf numFmtId="2" fontId="8" fillId="10" borderId="32" xfId="0" applyNumberFormat="1" applyFont="1" applyFill="1" applyBorder="1" applyAlignment="1" applyProtection="1">
      <alignment horizontal="center" vertical="center" wrapText="1"/>
      <protection/>
    </xf>
    <xf numFmtId="0" fontId="8" fillId="8" borderId="5" xfId="0" applyFont="1" applyFill="1" applyBorder="1" applyAlignment="1" applyProtection="1">
      <alignment horizontal="right" vertical="top" wrapText="1"/>
      <protection/>
    </xf>
    <xf numFmtId="0" fontId="8" fillId="8" borderId="35" xfId="0" applyFont="1" applyFill="1" applyBorder="1" applyAlignment="1" applyProtection="1">
      <alignment horizontal="right" vertical="top" wrapText="1"/>
      <protection/>
    </xf>
    <xf numFmtId="0" fontId="8" fillId="8" borderId="40" xfId="0" applyFont="1" applyFill="1" applyBorder="1" applyAlignment="1" applyProtection="1">
      <alignment horizontal="right" vertical="top" wrapText="1"/>
      <protection/>
    </xf>
    <xf numFmtId="0" fontId="8" fillId="8" borderId="36" xfId="0" applyFont="1" applyFill="1" applyBorder="1" applyAlignment="1" applyProtection="1">
      <alignment horizontal="right" vertical="top" wrapText="1"/>
      <protection/>
    </xf>
    <xf numFmtId="0" fontId="8" fillId="9" borderId="11" xfId="0" applyFont="1" applyFill="1" applyBorder="1" applyAlignment="1" applyProtection="1">
      <alignment horizontal="center" vertical="center"/>
      <protection/>
    </xf>
    <xf numFmtId="0" fontId="8" fillId="9" borderId="15" xfId="0" applyFont="1" applyFill="1" applyBorder="1" applyAlignment="1" applyProtection="1">
      <alignment horizontal="center" vertical="center"/>
      <protection/>
    </xf>
    <xf numFmtId="0" fontId="3" fillId="2" borderId="2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Relationship Id="rId2" Type="http://schemas.openxmlformats.org/officeDocument/2006/relationships/image" Target="../media/image9.jpeg" /><Relationship Id="rId3" Type="http://schemas.openxmlformats.org/officeDocument/2006/relationships/image" Target="../media/image10.jpeg" /><Relationship Id="rId4" Type="http://schemas.openxmlformats.org/officeDocument/2006/relationships/image" Target="../media/image11.jpeg" /><Relationship Id="rId5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0</xdr:row>
      <xdr:rowOff>438150</xdr:rowOff>
    </xdr:from>
    <xdr:to>
      <xdr:col>3</xdr:col>
      <xdr:colOff>257175</xdr:colOff>
      <xdr:row>0</xdr:row>
      <xdr:rowOff>914400</xdr:rowOff>
    </xdr:to>
    <xdr:pic>
      <xdr:nvPicPr>
        <xdr:cNvPr id="8" name="Imagem 7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57700" y="438150"/>
          <a:ext cx="1533525" cy="4762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123825</xdr:colOff>
      <xdr:row>0</xdr:row>
      <xdr:rowOff>438150</xdr:rowOff>
    </xdr:from>
    <xdr:to>
      <xdr:col>6</xdr:col>
      <xdr:colOff>428625</xdr:colOff>
      <xdr:row>0</xdr:row>
      <xdr:rowOff>942975</xdr:rowOff>
    </xdr:to>
    <xdr:pic>
      <xdr:nvPicPr>
        <xdr:cNvPr id="10" name="Imagem 9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77075" y="438150"/>
          <a:ext cx="1828800" cy="5048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161925</xdr:colOff>
      <xdr:row>0</xdr:row>
      <xdr:rowOff>342900</xdr:rowOff>
    </xdr:from>
    <xdr:to>
      <xdr:col>9</xdr:col>
      <xdr:colOff>361950</xdr:colOff>
      <xdr:row>0</xdr:row>
      <xdr:rowOff>838200</xdr:rowOff>
    </xdr:to>
    <xdr:pic>
      <xdr:nvPicPr>
        <xdr:cNvPr id="11" name="Imagem 10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58375" y="342900"/>
          <a:ext cx="1724025" cy="495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161925</xdr:colOff>
      <xdr:row>11</xdr:row>
      <xdr:rowOff>180975</xdr:rowOff>
    </xdr:from>
    <xdr:to>
      <xdr:col>15</xdr:col>
      <xdr:colOff>504825</xdr:colOff>
      <xdr:row>20</xdr:row>
      <xdr:rowOff>171450</xdr:rowOff>
    </xdr:to>
    <xdr:pic>
      <xdr:nvPicPr>
        <xdr:cNvPr id="13" name="Imagem 12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58375" y="3895725"/>
          <a:ext cx="5524500" cy="2047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28575</xdr:colOff>
      <xdr:row>7</xdr:row>
      <xdr:rowOff>266700</xdr:rowOff>
    </xdr:from>
    <xdr:to>
      <xdr:col>1</xdr:col>
      <xdr:colOff>3190875</xdr:colOff>
      <xdr:row>27</xdr:row>
      <xdr:rowOff>85725</xdr:rowOff>
    </xdr:to>
    <xdr:pic>
      <xdr:nvPicPr>
        <xdr:cNvPr id="15" name="Imagem 14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2962275"/>
          <a:ext cx="3771900" cy="44958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400050</xdr:colOff>
      <xdr:row>7</xdr:row>
      <xdr:rowOff>171450</xdr:rowOff>
    </xdr:from>
    <xdr:to>
      <xdr:col>3</xdr:col>
      <xdr:colOff>1657350</xdr:colOff>
      <xdr:row>7</xdr:row>
      <xdr:rowOff>514350</xdr:rowOff>
    </xdr:to>
    <xdr:pic>
      <xdr:nvPicPr>
        <xdr:cNvPr id="9" name="Imagem 8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53025" y="1819275"/>
          <a:ext cx="1257300" cy="3429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16</xdr:row>
      <xdr:rowOff>133350</xdr:rowOff>
    </xdr:from>
    <xdr:to>
      <xdr:col>1</xdr:col>
      <xdr:colOff>2171700</xdr:colOff>
      <xdr:row>30</xdr:row>
      <xdr:rowOff>114300</xdr:rowOff>
    </xdr:to>
    <xdr:pic>
      <xdr:nvPicPr>
        <xdr:cNvPr id="10" name="Imagem 9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067175"/>
          <a:ext cx="2781300" cy="33147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285750</xdr:colOff>
      <xdr:row>1</xdr:row>
      <xdr:rowOff>57150</xdr:rowOff>
    </xdr:from>
    <xdr:to>
      <xdr:col>1</xdr:col>
      <xdr:colOff>2009775</xdr:colOff>
      <xdr:row>5</xdr:row>
      <xdr:rowOff>200025</xdr:rowOff>
    </xdr:to>
    <xdr:pic>
      <xdr:nvPicPr>
        <xdr:cNvPr id="11" name="Imagem 10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" y="266700"/>
          <a:ext cx="2333625" cy="9810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485775</xdr:colOff>
      <xdr:row>7</xdr:row>
      <xdr:rowOff>123825</xdr:rowOff>
    </xdr:from>
    <xdr:to>
      <xdr:col>2</xdr:col>
      <xdr:colOff>1485900</xdr:colOff>
      <xdr:row>7</xdr:row>
      <xdr:rowOff>504825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24225" y="1771650"/>
          <a:ext cx="1000125" cy="381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228600</xdr:colOff>
      <xdr:row>7</xdr:row>
      <xdr:rowOff>123825</xdr:rowOff>
    </xdr:from>
    <xdr:to>
      <xdr:col>4</xdr:col>
      <xdr:colOff>1228725</xdr:colOff>
      <xdr:row>7</xdr:row>
      <xdr:rowOff>504825</xdr:rowOff>
    </xdr:to>
    <xdr:pic>
      <xdr:nvPicPr>
        <xdr:cNvPr id="26" name="Imagem 25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96100" y="1771650"/>
          <a:ext cx="1000125" cy="381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85725</xdr:colOff>
      <xdr:row>7</xdr:row>
      <xdr:rowOff>171450</xdr:rowOff>
    </xdr:from>
    <xdr:to>
      <xdr:col>5</xdr:col>
      <xdr:colOff>1343025</xdr:colOff>
      <xdr:row>7</xdr:row>
      <xdr:rowOff>514350</xdr:rowOff>
    </xdr:to>
    <xdr:pic>
      <xdr:nvPicPr>
        <xdr:cNvPr id="27" name="Imagem 26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01025" y="1819275"/>
          <a:ext cx="1257300" cy="3429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209550</xdr:colOff>
      <xdr:row>7</xdr:row>
      <xdr:rowOff>133350</xdr:rowOff>
    </xdr:from>
    <xdr:to>
      <xdr:col>6</xdr:col>
      <xdr:colOff>1219200</xdr:colOff>
      <xdr:row>7</xdr:row>
      <xdr:rowOff>514350</xdr:rowOff>
    </xdr:to>
    <xdr:pic>
      <xdr:nvPicPr>
        <xdr:cNvPr id="4" name="Imagem 3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72650" y="1781175"/>
          <a:ext cx="1009650" cy="381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</xdr:col>
      <xdr:colOff>76200</xdr:colOff>
      <xdr:row>7</xdr:row>
      <xdr:rowOff>171450</xdr:rowOff>
    </xdr:from>
    <xdr:to>
      <xdr:col>9</xdr:col>
      <xdr:colOff>1333500</xdr:colOff>
      <xdr:row>7</xdr:row>
      <xdr:rowOff>514350</xdr:rowOff>
    </xdr:to>
    <xdr:pic>
      <xdr:nvPicPr>
        <xdr:cNvPr id="29" name="Imagem 28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82700" y="1819275"/>
          <a:ext cx="1257300" cy="3429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104775</xdr:colOff>
      <xdr:row>7</xdr:row>
      <xdr:rowOff>171450</xdr:rowOff>
    </xdr:from>
    <xdr:to>
      <xdr:col>7</xdr:col>
      <xdr:colOff>1362075</xdr:colOff>
      <xdr:row>7</xdr:row>
      <xdr:rowOff>514350</xdr:rowOff>
    </xdr:to>
    <xdr:pic>
      <xdr:nvPicPr>
        <xdr:cNvPr id="30" name="Imagem 29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15675" y="1819275"/>
          <a:ext cx="1257300" cy="3429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11</xdr:col>
      <xdr:colOff>228600</xdr:colOff>
      <xdr:row>7</xdr:row>
      <xdr:rowOff>123825</xdr:rowOff>
    </xdr:from>
    <xdr:to>
      <xdr:col>11</xdr:col>
      <xdr:colOff>1228725</xdr:colOff>
      <xdr:row>7</xdr:row>
      <xdr:rowOff>504825</xdr:rowOff>
    </xdr:to>
    <xdr:pic>
      <xdr:nvPicPr>
        <xdr:cNvPr id="31" name="Imagem 30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63975" y="1771650"/>
          <a:ext cx="1000125" cy="381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219075</xdr:colOff>
      <xdr:row>7</xdr:row>
      <xdr:rowOff>123825</xdr:rowOff>
    </xdr:from>
    <xdr:to>
      <xdr:col>8</xdr:col>
      <xdr:colOff>1219200</xdr:colOff>
      <xdr:row>7</xdr:row>
      <xdr:rowOff>504825</xdr:rowOff>
    </xdr:to>
    <xdr:pic>
      <xdr:nvPicPr>
        <xdr:cNvPr id="32" name="Imagem 31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77775" y="1771650"/>
          <a:ext cx="1000125" cy="381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14</xdr:col>
      <xdr:colOff>219075</xdr:colOff>
      <xdr:row>7</xdr:row>
      <xdr:rowOff>123825</xdr:rowOff>
    </xdr:from>
    <xdr:to>
      <xdr:col>14</xdr:col>
      <xdr:colOff>1219200</xdr:colOff>
      <xdr:row>7</xdr:row>
      <xdr:rowOff>504825</xdr:rowOff>
    </xdr:to>
    <xdr:pic>
      <xdr:nvPicPr>
        <xdr:cNvPr id="34" name="Imagem 33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31125" y="1771650"/>
          <a:ext cx="1000125" cy="381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17</xdr:col>
      <xdr:colOff>257175</xdr:colOff>
      <xdr:row>7</xdr:row>
      <xdr:rowOff>123825</xdr:rowOff>
    </xdr:from>
    <xdr:to>
      <xdr:col>17</xdr:col>
      <xdr:colOff>1257300</xdr:colOff>
      <xdr:row>7</xdr:row>
      <xdr:rowOff>504825</xdr:rowOff>
    </xdr:to>
    <xdr:pic>
      <xdr:nvPicPr>
        <xdr:cNvPr id="37" name="Imagem 36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345900" y="1771650"/>
          <a:ext cx="1000125" cy="381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20</xdr:col>
      <xdr:colOff>200025</xdr:colOff>
      <xdr:row>7</xdr:row>
      <xdr:rowOff>123825</xdr:rowOff>
    </xdr:from>
    <xdr:to>
      <xdr:col>20</xdr:col>
      <xdr:colOff>1200150</xdr:colOff>
      <xdr:row>7</xdr:row>
      <xdr:rowOff>504825</xdr:rowOff>
    </xdr:to>
    <xdr:pic>
      <xdr:nvPicPr>
        <xdr:cNvPr id="38" name="Imagem 37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165425" y="1771650"/>
          <a:ext cx="1000125" cy="381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23</xdr:col>
      <xdr:colOff>209550</xdr:colOff>
      <xdr:row>7</xdr:row>
      <xdr:rowOff>123825</xdr:rowOff>
    </xdr:from>
    <xdr:to>
      <xdr:col>23</xdr:col>
      <xdr:colOff>1209675</xdr:colOff>
      <xdr:row>7</xdr:row>
      <xdr:rowOff>504825</xdr:rowOff>
    </xdr:to>
    <xdr:pic>
      <xdr:nvPicPr>
        <xdr:cNvPr id="39" name="Imagem 38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051625" y="1771650"/>
          <a:ext cx="1000125" cy="381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26</xdr:col>
      <xdr:colOff>209550</xdr:colOff>
      <xdr:row>7</xdr:row>
      <xdr:rowOff>133350</xdr:rowOff>
    </xdr:from>
    <xdr:to>
      <xdr:col>26</xdr:col>
      <xdr:colOff>1209675</xdr:colOff>
      <xdr:row>7</xdr:row>
      <xdr:rowOff>514350</xdr:rowOff>
    </xdr:to>
    <xdr:pic>
      <xdr:nvPicPr>
        <xdr:cNvPr id="40" name="Imagem 39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928300" y="1781175"/>
          <a:ext cx="1000125" cy="381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29</xdr:col>
      <xdr:colOff>209550</xdr:colOff>
      <xdr:row>7</xdr:row>
      <xdr:rowOff>133350</xdr:rowOff>
    </xdr:from>
    <xdr:to>
      <xdr:col>29</xdr:col>
      <xdr:colOff>1209675</xdr:colOff>
      <xdr:row>7</xdr:row>
      <xdr:rowOff>514350</xdr:rowOff>
    </xdr:to>
    <xdr:pic>
      <xdr:nvPicPr>
        <xdr:cNvPr id="43" name="Imagem 42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804975" y="1781175"/>
          <a:ext cx="1000125" cy="381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15</xdr:col>
      <xdr:colOff>66675</xdr:colOff>
      <xdr:row>7</xdr:row>
      <xdr:rowOff>180975</xdr:rowOff>
    </xdr:from>
    <xdr:to>
      <xdr:col>15</xdr:col>
      <xdr:colOff>1323975</xdr:colOff>
      <xdr:row>7</xdr:row>
      <xdr:rowOff>523875</xdr:rowOff>
    </xdr:to>
    <xdr:pic>
      <xdr:nvPicPr>
        <xdr:cNvPr id="46" name="Imagem 45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726525" y="1828800"/>
          <a:ext cx="1257300" cy="3429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12</xdr:col>
      <xdr:colOff>85725</xdr:colOff>
      <xdr:row>7</xdr:row>
      <xdr:rowOff>171450</xdr:rowOff>
    </xdr:from>
    <xdr:to>
      <xdr:col>12</xdr:col>
      <xdr:colOff>1343025</xdr:colOff>
      <xdr:row>7</xdr:row>
      <xdr:rowOff>514350</xdr:rowOff>
    </xdr:to>
    <xdr:pic>
      <xdr:nvPicPr>
        <xdr:cNvPr id="47" name="Imagem 46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868900" y="1819275"/>
          <a:ext cx="1257300" cy="3429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18</xdr:col>
      <xdr:colOff>66675</xdr:colOff>
      <xdr:row>7</xdr:row>
      <xdr:rowOff>171450</xdr:rowOff>
    </xdr:from>
    <xdr:to>
      <xdr:col>18</xdr:col>
      <xdr:colOff>1323975</xdr:colOff>
      <xdr:row>7</xdr:row>
      <xdr:rowOff>514350</xdr:rowOff>
    </xdr:to>
    <xdr:pic>
      <xdr:nvPicPr>
        <xdr:cNvPr id="48" name="Imagem 47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603200" y="1819275"/>
          <a:ext cx="1257300" cy="3429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21</xdr:col>
      <xdr:colOff>104775</xdr:colOff>
      <xdr:row>7</xdr:row>
      <xdr:rowOff>171450</xdr:rowOff>
    </xdr:from>
    <xdr:to>
      <xdr:col>21</xdr:col>
      <xdr:colOff>1362075</xdr:colOff>
      <xdr:row>7</xdr:row>
      <xdr:rowOff>523875</xdr:rowOff>
    </xdr:to>
    <xdr:pic>
      <xdr:nvPicPr>
        <xdr:cNvPr id="50" name="Imagem 49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17975" y="1819275"/>
          <a:ext cx="1257300" cy="3524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24</xdr:col>
      <xdr:colOff>76200</xdr:colOff>
      <xdr:row>7</xdr:row>
      <xdr:rowOff>142875</xdr:rowOff>
    </xdr:from>
    <xdr:to>
      <xdr:col>24</xdr:col>
      <xdr:colOff>1333500</xdr:colOff>
      <xdr:row>7</xdr:row>
      <xdr:rowOff>495300</xdr:rowOff>
    </xdr:to>
    <xdr:pic>
      <xdr:nvPicPr>
        <xdr:cNvPr id="51" name="Imagem 5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66075" y="1790700"/>
          <a:ext cx="1257300" cy="3524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27</xdr:col>
      <xdr:colOff>76200</xdr:colOff>
      <xdr:row>7</xdr:row>
      <xdr:rowOff>171450</xdr:rowOff>
    </xdr:from>
    <xdr:to>
      <xdr:col>27</xdr:col>
      <xdr:colOff>1333500</xdr:colOff>
      <xdr:row>7</xdr:row>
      <xdr:rowOff>523875</xdr:rowOff>
    </xdr:to>
    <xdr:pic>
      <xdr:nvPicPr>
        <xdr:cNvPr id="52" name="Imagem 5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242750" y="1819275"/>
          <a:ext cx="1257300" cy="3524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30</xdr:col>
      <xdr:colOff>76200</xdr:colOff>
      <xdr:row>7</xdr:row>
      <xdr:rowOff>180975</xdr:rowOff>
    </xdr:from>
    <xdr:to>
      <xdr:col>30</xdr:col>
      <xdr:colOff>1333500</xdr:colOff>
      <xdr:row>7</xdr:row>
      <xdr:rowOff>533400</xdr:rowOff>
    </xdr:to>
    <xdr:pic>
      <xdr:nvPicPr>
        <xdr:cNvPr id="53" name="Imagem 5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119425" y="1828800"/>
          <a:ext cx="1257300" cy="3524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32</xdr:col>
      <xdr:colOff>152400</xdr:colOff>
      <xdr:row>7</xdr:row>
      <xdr:rowOff>133350</xdr:rowOff>
    </xdr:from>
    <xdr:to>
      <xdr:col>32</xdr:col>
      <xdr:colOff>1162050</xdr:colOff>
      <xdr:row>7</xdr:row>
      <xdr:rowOff>514350</xdr:rowOff>
    </xdr:to>
    <xdr:pic>
      <xdr:nvPicPr>
        <xdr:cNvPr id="54" name="Imagem 53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624500" y="1781175"/>
          <a:ext cx="1009650" cy="381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33</xdr:col>
      <xdr:colOff>85725</xdr:colOff>
      <xdr:row>7</xdr:row>
      <xdr:rowOff>161925</xdr:rowOff>
    </xdr:from>
    <xdr:to>
      <xdr:col>33</xdr:col>
      <xdr:colOff>1343025</xdr:colOff>
      <xdr:row>7</xdr:row>
      <xdr:rowOff>514350</xdr:rowOff>
    </xdr:to>
    <xdr:pic>
      <xdr:nvPicPr>
        <xdr:cNvPr id="55" name="Imagem 5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005625" y="1809750"/>
          <a:ext cx="1257300" cy="3524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35</xdr:col>
      <xdr:colOff>209550</xdr:colOff>
      <xdr:row>7</xdr:row>
      <xdr:rowOff>133350</xdr:rowOff>
    </xdr:from>
    <xdr:to>
      <xdr:col>35</xdr:col>
      <xdr:colOff>1219200</xdr:colOff>
      <xdr:row>7</xdr:row>
      <xdr:rowOff>514350</xdr:rowOff>
    </xdr:to>
    <xdr:pic>
      <xdr:nvPicPr>
        <xdr:cNvPr id="56" name="Imagem 55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558325" y="1781175"/>
          <a:ext cx="1009650" cy="381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36</xdr:col>
      <xdr:colOff>85725</xdr:colOff>
      <xdr:row>7</xdr:row>
      <xdr:rowOff>161925</xdr:rowOff>
    </xdr:from>
    <xdr:to>
      <xdr:col>36</xdr:col>
      <xdr:colOff>1343025</xdr:colOff>
      <xdr:row>7</xdr:row>
      <xdr:rowOff>514350</xdr:rowOff>
    </xdr:to>
    <xdr:pic>
      <xdr:nvPicPr>
        <xdr:cNvPr id="57" name="Imagem 56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882300" y="1809750"/>
          <a:ext cx="1257300" cy="3524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18</xdr:col>
      <xdr:colOff>1295400</xdr:colOff>
      <xdr:row>0</xdr:row>
      <xdr:rowOff>0</xdr:rowOff>
    </xdr:from>
    <xdr:to>
      <xdr:col>20</xdr:col>
      <xdr:colOff>466725</xdr:colOff>
      <xdr:row>7</xdr:row>
      <xdr:rowOff>76200</xdr:rowOff>
    </xdr:to>
    <xdr:pic>
      <xdr:nvPicPr>
        <xdr:cNvPr id="5" name="Imagem 4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31925" y="0"/>
          <a:ext cx="1600200" cy="17240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638175</xdr:colOff>
      <xdr:row>20</xdr:row>
      <xdr:rowOff>390525</xdr:rowOff>
    </xdr:from>
    <xdr:to>
      <xdr:col>7</xdr:col>
      <xdr:colOff>9525</xdr:colOff>
      <xdr:row>30</xdr:row>
      <xdr:rowOff>38100</xdr:rowOff>
    </xdr:to>
    <xdr:pic>
      <xdr:nvPicPr>
        <xdr:cNvPr id="12" name="Imagem 11"/>
        <xdr:cNvPicPr preferRelativeResize="1">
          <a:picLocks noChangeAspect="1"/>
        </xdr:cNvPicPr>
      </xdr:nvPicPr>
      <xdr:blipFill>
        <a:blip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76625" y="5172075"/>
          <a:ext cx="7543800" cy="21336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J27"/>
  <sheetViews>
    <sheetView workbookViewId="0" topLeftCell="A1">
      <selection activeCell="B2" sqref="B2"/>
    </sheetView>
  </sheetViews>
  <sheetFormatPr defaultColWidth="9.140625" defaultRowHeight="15"/>
  <cols>
    <col min="1" max="1" width="9.140625" style="30" customWidth="1"/>
    <col min="2" max="2" width="54.00390625" style="30" customWidth="1"/>
    <col min="3" max="3" width="22.8515625" style="30" customWidth="1"/>
    <col min="4" max="4" width="9.140625" style="28" customWidth="1"/>
    <col min="5" max="5" width="9.140625" style="30" customWidth="1"/>
    <col min="6" max="6" width="22.8515625" style="30" bestFit="1" customWidth="1"/>
    <col min="7" max="8" width="9.140625" style="28" customWidth="1"/>
    <col min="9" max="9" width="22.8515625" style="30" customWidth="1"/>
    <col min="10" max="10" width="9.140625" style="28" customWidth="1"/>
    <col min="11" max="16384" width="9.140625" style="28" customWidth="1"/>
  </cols>
  <sheetData>
    <row r="1" spans="3:10" ht="104.25" customHeight="1">
      <c r="C1" s="160"/>
      <c r="D1" s="160"/>
      <c r="E1" s="34"/>
      <c r="F1" s="160"/>
      <c r="G1" s="160"/>
      <c r="I1" s="160"/>
      <c r="J1" s="160"/>
    </row>
    <row r="2" spans="3:10" ht="18" customHeight="1">
      <c r="C2" s="38" t="s">
        <v>82</v>
      </c>
      <c r="D2" s="40">
        <f>'Levedura de cerveja'!F22</f>
        <v>45.66052631578947</v>
      </c>
      <c r="E2" s="31"/>
      <c r="F2" s="38" t="s">
        <v>82</v>
      </c>
      <c r="G2" s="40">
        <f>'Provillus 4PET'!F5</f>
        <v>45.83298635964913</v>
      </c>
      <c r="I2" s="38" t="s">
        <v>82</v>
      </c>
      <c r="J2" s="40">
        <v>30</v>
      </c>
    </row>
    <row r="3" spans="3:10" ht="18" customHeight="1">
      <c r="C3" s="38" t="s">
        <v>83</v>
      </c>
      <c r="D3" s="40">
        <v>1.4</v>
      </c>
      <c r="E3" s="31"/>
      <c r="F3" s="38" t="s">
        <v>83</v>
      </c>
      <c r="G3" s="40">
        <f>'Provillus 4PET'!F8</f>
        <v>4.1897875</v>
      </c>
      <c r="I3" s="38" t="s">
        <v>101</v>
      </c>
      <c r="J3" s="40">
        <v>8</v>
      </c>
    </row>
    <row r="4" spans="3:10" ht="18" customHeight="1">
      <c r="C4" s="38" t="s">
        <v>85</v>
      </c>
      <c r="D4" s="40">
        <v>10</v>
      </c>
      <c r="F4" s="38" t="s">
        <v>85</v>
      </c>
      <c r="G4" s="40">
        <v>7</v>
      </c>
      <c r="I4" s="38" t="s">
        <v>97</v>
      </c>
      <c r="J4" s="40">
        <v>5</v>
      </c>
    </row>
    <row r="5" spans="3:10" ht="18" customHeight="1">
      <c r="C5" s="38" t="s">
        <v>84</v>
      </c>
      <c r="D5" s="40">
        <f>'Levedura de cerveja'!L3</f>
        <v>4339</v>
      </c>
      <c r="F5" s="38" t="s">
        <v>84</v>
      </c>
      <c r="G5" s="40">
        <f>'Provillus 4PET'!F2</f>
        <v>4816.1215</v>
      </c>
      <c r="I5" s="38" t="s">
        <v>68</v>
      </c>
      <c r="J5" s="40">
        <v>18</v>
      </c>
    </row>
    <row r="6" spans="3:10" ht="18" customHeight="1">
      <c r="C6" s="38" t="s">
        <v>68</v>
      </c>
      <c r="D6" s="40">
        <f>'Levedura de cerveja'!N4</f>
        <v>0</v>
      </c>
      <c r="F6" s="38" t="s">
        <v>68</v>
      </c>
      <c r="G6" s="40">
        <f>'Provillus 4PET'!I2</f>
        <v>5.377062910714286</v>
      </c>
      <c r="I6" s="38" t="s">
        <v>87</v>
      </c>
      <c r="J6" s="40">
        <f>Maximos!$C$10</f>
        <v>32.934000000000005</v>
      </c>
    </row>
    <row r="7" spans="3:7" ht="18" customHeight="1">
      <c r="C7" s="38" t="s">
        <v>87</v>
      </c>
      <c r="D7" s="40">
        <f>'Levedura de cerveja'!O4</f>
        <v>0</v>
      </c>
      <c r="F7" s="38" t="s">
        <v>87</v>
      </c>
      <c r="G7" s="40">
        <f>'Provillus 4PET'!J2</f>
        <v>8.974141071428573</v>
      </c>
    </row>
    <row r="8" spans="3:7" ht="26.25" customHeight="1">
      <c r="C8" s="161" t="s">
        <v>86</v>
      </c>
      <c r="D8" s="161"/>
      <c r="E8" s="37"/>
      <c r="F8" s="161" t="s">
        <v>86</v>
      </c>
      <c r="G8" s="161"/>
    </row>
    <row r="9" spans="3:10" ht="18" customHeight="1">
      <c r="C9" s="38" t="s">
        <v>8</v>
      </c>
      <c r="D9" s="39">
        <v>3.3515</v>
      </c>
      <c r="F9" s="38" t="str">
        <f>'Provillus 4PET'!A3</f>
        <v>Ácido aspártico</v>
      </c>
      <c r="G9" s="39">
        <f>'Provillus 4PET'!B3</f>
        <v>3.049034625</v>
      </c>
      <c r="J9" s="33"/>
    </row>
    <row r="10" spans="3:7" ht="18" customHeight="1">
      <c r="C10" s="38" t="s">
        <v>9</v>
      </c>
      <c r="D10" s="39">
        <v>4.9535</v>
      </c>
      <c r="F10" s="38" t="str">
        <f>'Provillus 4PET'!A4</f>
        <v>Ácido glutâmico</v>
      </c>
      <c r="G10" s="39">
        <f>'Provillus 4PET'!B4</f>
        <v>6.009166625000001</v>
      </c>
    </row>
    <row r="11" spans="3:7" ht="18" customHeight="1">
      <c r="C11" s="38" t="s">
        <v>7</v>
      </c>
      <c r="D11" s="39">
        <v>2.1499</v>
      </c>
      <c r="F11" s="38" t="str">
        <f>'Provillus 4PET'!A5</f>
        <v>Alanina</v>
      </c>
      <c r="G11" s="39">
        <f>'Provillus 4PET'!B5</f>
        <v>2.593357525</v>
      </c>
    </row>
    <row r="12" spans="3:7" ht="18" customHeight="1">
      <c r="C12" s="38" t="s">
        <v>10</v>
      </c>
      <c r="D12" s="39">
        <v>2.0124</v>
      </c>
      <c r="F12" s="38" t="str">
        <f>'Provillus 4PET'!A6</f>
        <v>Arginina</v>
      </c>
      <c r="G12" s="39">
        <f>'Provillus 4PET'!B6</f>
        <v>2.1127669</v>
      </c>
    </row>
    <row r="13" spans="3:7" ht="18" customHeight="1">
      <c r="C13" s="38" t="s">
        <v>6</v>
      </c>
      <c r="D13" s="39">
        <v>0.048</v>
      </c>
      <c r="F13" s="38" t="str">
        <f>'Provillus 4PET'!A7</f>
        <v>Cistina</v>
      </c>
      <c r="G13" s="39">
        <f>'Provillus 4PET'!B7</f>
        <v>0.33261550000000006</v>
      </c>
    </row>
    <row r="14" spans="3:7" ht="18" customHeight="1">
      <c r="C14" s="38" t="s">
        <v>11</v>
      </c>
      <c r="D14" s="39">
        <v>1.0252</v>
      </c>
      <c r="F14" s="38" t="str">
        <f>'Provillus 4PET'!A8</f>
        <v>Fenilalanina</v>
      </c>
      <c r="G14" s="39">
        <f>'Provillus 4PET'!B8</f>
        <v>1.5610811999999998</v>
      </c>
    </row>
    <row r="15" spans="3:7" ht="18" customHeight="1">
      <c r="C15" s="38" t="s">
        <v>12</v>
      </c>
      <c r="D15" s="39">
        <v>1.5499</v>
      </c>
      <c r="F15" s="38" t="str">
        <f>'Provillus 4PET'!A9</f>
        <v>Glicina</v>
      </c>
      <c r="G15" s="39">
        <f>'Provillus 4PET'!B9</f>
        <v>1.634337525</v>
      </c>
    </row>
    <row r="16" spans="3:7" ht="18" customHeight="1">
      <c r="C16" s="38" t="s">
        <v>13</v>
      </c>
      <c r="D16" s="39">
        <v>1.1409</v>
      </c>
      <c r="F16" s="38" t="str">
        <f>'Provillus 4PET'!A10</f>
        <v>Histidina</v>
      </c>
      <c r="G16" s="39">
        <f>'Provillus 4PET'!B10</f>
        <v>1.310957275</v>
      </c>
    </row>
    <row r="17" spans="3:7" ht="18" customHeight="1">
      <c r="C17" s="38" t="s">
        <v>2</v>
      </c>
      <c r="D17" s="39">
        <v>1.1549</v>
      </c>
      <c r="F17" s="38" t="str">
        <f>'Provillus 4PET'!A11</f>
        <v>Isoleucina</v>
      </c>
      <c r="G17" s="39">
        <f>'Provillus 4PET'!B11</f>
        <v>1.262273775</v>
      </c>
    </row>
    <row r="18" spans="3:7" ht="18" customHeight="1">
      <c r="C18" s="38" t="s">
        <v>3</v>
      </c>
      <c r="D18" s="39">
        <v>1.9847</v>
      </c>
      <c r="F18" s="38" t="str">
        <f>'Provillus 4PET'!A12</f>
        <v>Leucina</v>
      </c>
      <c r="G18" s="39">
        <f>'Provillus 4PET'!B12</f>
        <v>3.2611538249999996</v>
      </c>
    </row>
    <row r="19" spans="3:7" ht="18" customHeight="1">
      <c r="C19" s="38" t="s">
        <v>14</v>
      </c>
      <c r="D19" s="39">
        <v>1.5318</v>
      </c>
      <c r="F19" s="38" t="str">
        <f>'Provillus 4PET'!A13</f>
        <v xml:space="preserve">Lisina </v>
      </c>
      <c r="G19" s="39">
        <f>'Provillus 4PET'!B13</f>
        <v>1.76580955</v>
      </c>
    </row>
    <row r="20" spans="3:7" ht="18" customHeight="1">
      <c r="C20" s="38" t="s">
        <v>15</v>
      </c>
      <c r="D20" s="39">
        <v>0.396</v>
      </c>
      <c r="F20" s="38" t="str">
        <f>'Provillus 4PET'!A14</f>
        <v>Metionina</v>
      </c>
      <c r="G20" s="39">
        <f>'Provillus 4PET'!B14</f>
        <v>0.5166510000000001</v>
      </c>
    </row>
    <row r="21" spans="3:7" ht="18" customHeight="1">
      <c r="C21" s="38" t="s">
        <v>4</v>
      </c>
      <c r="D21" s="39">
        <v>0.6549</v>
      </c>
      <c r="F21" s="38" t="str">
        <f>'Provillus 4PET'!A15</f>
        <v>Prolina</v>
      </c>
      <c r="G21" s="39">
        <f>'Provillus 4PET'!B15</f>
        <v>2.0532587749999998</v>
      </c>
    </row>
    <row r="22" spans="3:7" ht="18" customHeight="1">
      <c r="C22" s="38" t="s">
        <v>16</v>
      </c>
      <c r="D22" s="39">
        <v>1.8531</v>
      </c>
      <c r="F22" s="38" t="str">
        <f>'Provillus 4PET'!A16</f>
        <v>Serina</v>
      </c>
      <c r="G22" s="39">
        <f>'Provillus 4PET'!B16</f>
        <v>2.0683667249999997</v>
      </c>
    </row>
    <row r="23" spans="3:7" ht="18" customHeight="1">
      <c r="C23" s="38" t="s">
        <v>17</v>
      </c>
      <c r="D23" s="39">
        <v>0.0007</v>
      </c>
      <c r="F23" s="38" t="str">
        <f>'Provillus 4PET'!A17</f>
        <v>Taurina</v>
      </c>
      <c r="G23" s="39">
        <f>'Provillus 4PET'!B17</f>
        <v>0.004219825</v>
      </c>
    </row>
    <row r="24" spans="3:7" ht="18" customHeight="1">
      <c r="C24" s="38" t="s">
        <v>18</v>
      </c>
      <c r="D24" s="39">
        <v>0.982</v>
      </c>
      <c r="F24" s="38" t="str">
        <f>'Provillus 4PET'!A18</f>
        <v>Tirosina</v>
      </c>
      <c r="G24" s="39">
        <f>'Provillus 4PET'!B18</f>
        <v>1.2881095</v>
      </c>
    </row>
    <row r="25" spans="3:7" ht="18" customHeight="1">
      <c r="C25" s="38" t="s">
        <v>19</v>
      </c>
      <c r="D25" s="39">
        <v>1.449</v>
      </c>
      <c r="F25" s="38" t="str">
        <f>'Provillus 4PET'!A19</f>
        <v>Treonina</v>
      </c>
      <c r="G25" s="39">
        <f>'Provillus 4PET'!B19</f>
        <v>1.52040025</v>
      </c>
    </row>
    <row r="26" spans="3:7" ht="18" customHeight="1">
      <c r="C26" s="38" t="s">
        <v>5</v>
      </c>
      <c r="D26" s="39">
        <v>0.1765</v>
      </c>
      <c r="F26" s="38" t="str">
        <f>'Provillus 4PET'!A20</f>
        <v>Valina</v>
      </c>
      <c r="G26" s="39">
        <f>'Provillus 4PET'!B20</f>
        <v>0.481045875</v>
      </c>
    </row>
    <row r="27" spans="3:7" ht="18" customHeight="1">
      <c r="C27" s="38" t="s">
        <v>20</v>
      </c>
      <c r="D27" s="39">
        <v>1.369</v>
      </c>
      <c r="G27" s="29"/>
    </row>
  </sheetData>
  <mergeCells count="5">
    <mergeCell ref="I1:J1"/>
    <mergeCell ref="C8:D8"/>
    <mergeCell ref="C1:D1"/>
    <mergeCell ref="F1:G1"/>
    <mergeCell ref="F8:G8"/>
  </mergeCells>
  <printOptions/>
  <pageMargins left="0.511811024" right="0.511811024" top="0.787401575" bottom="0.787401575" header="0.31496062" footer="0.31496062"/>
  <pageSetup orientation="portrait" paperSize="9"/>
  <ignoredErrors>
    <ignoredError sqref="G2:G7 G9:G26 D2 J6 D4:D7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27"/>
  <sheetViews>
    <sheetView workbookViewId="0" topLeftCell="C1">
      <selection activeCell="I13" sqref="I13"/>
    </sheetView>
  </sheetViews>
  <sheetFormatPr defaultColWidth="9.140625" defaultRowHeight="15"/>
  <cols>
    <col min="1" max="1" width="18.140625" style="1" bestFit="1" customWidth="1"/>
    <col min="2" max="4" width="9.140625" style="1" customWidth="1"/>
    <col min="5" max="5" width="13.7109375" style="1" bestFit="1" customWidth="1"/>
    <col min="6" max="7" width="9.140625" style="1" customWidth="1"/>
    <col min="8" max="8" width="12.140625" style="1" bestFit="1" customWidth="1"/>
    <col min="9" max="11" width="9.140625" style="1" customWidth="1"/>
    <col min="12" max="12" width="48.421875" style="1" bestFit="1" customWidth="1"/>
    <col min="13" max="14" width="9.140625" style="1" customWidth="1"/>
    <col min="15" max="15" width="27.00390625" style="1" bestFit="1" customWidth="1"/>
    <col min="16" max="16384" width="9.140625" style="1" customWidth="1"/>
  </cols>
  <sheetData>
    <row r="1" spans="1:15" ht="15">
      <c r="A1" s="162">
        <v>2018</v>
      </c>
      <c r="B1" s="162"/>
      <c r="C1" s="10"/>
      <c r="D1" s="10"/>
      <c r="E1" s="162" t="s">
        <v>33</v>
      </c>
      <c r="F1" s="162"/>
      <c r="G1" s="10"/>
      <c r="H1" s="163" t="s">
        <v>75</v>
      </c>
      <c r="I1" s="163"/>
      <c r="J1" s="10"/>
      <c r="L1" s="4">
        <v>2017</v>
      </c>
      <c r="N1" s="6" t="s">
        <v>31</v>
      </c>
      <c r="O1" s="6"/>
    </row>
    <row r="2" spans="1:15" ht="15">
      <c r="A2" s="3" t="s">
        <v>0</v>
      </c>
      <c r="B2" s="3" t="s">
        <v>1</v>
      </c>
      <c r="C2" s="10"/>
      <c r="D2" s="10"/>
      <c r="E2" s="15" t="s">
        <v>34</v>
      </c>
      <c r="F2" s="15" t="s">
        <v>1</v>
      </c>
      <c r="G2" s="23"/>
      <c r="H2" s="23" t="s">
        <v>34</v>
      </c>
      <c r="I2" s="23" t="s">
        <v>1</v>
      </c>
      <c r="J2" s="23"/>
      <c r="L2" s="6" t="s">
        <v>27</v>
      </c>
      <c r="N2" s="2" t="s">
        <v>30</v>
      </c>
      <c r="O2" s="2" t="s">
        <v>57</v>
      </c>
    </row>
    <row r="3" spans="1:15" ht="15">
      <c r="A3" s="1" t="s">
        <v>8</v>
      </c>
      <c r="B3" s="1">
        <v>3.3515</v>
      </c>
      <c r="E3" s="1">
        <v>2019</v>
      </c>
      <c r="F3" s="1">
        <v>49.53</v>
      </c>
      <c r="G3" s="16"/>
      <c r="H3" s="24">
        <v>2019</v>
      </c>
      <c r="I3" s="24">
        <v>0.76</v>
      </c>
      <c r="J3" s="16"/>
      <c r="L3" s="1">
        <v>4339</v>
      </c>
      <c r="N3" s="6">
        <f>AVERAGE(10,15)</f>
        <v>12.5</v>
      </c>
      <c r="O3" s="6">
        <f>AVERAGE(25,30)</f>
        <v>27.5</v>
      </c>
    </row>
    <row r="4" spans="1:15" ht="15">
      <c r="A4" s="1" t="s">
        <v>9</v>
      </c>
      <c r="B4" s="1">
        <v>4.9535</v>
      </c>
      <c r="E4" s="1">
        <v>2019</v>
      </c>
      <c r="F4" s="1">
        <v>33.25</v>
      </c>
      <c r="G4" s="16"/>
      <c r="H4" s="25">
        <v>2019</v>
      </c>
      <c r="I4" s="25">
        <v>0.12</v>
      </c>
      <c r="J4" s="16"/>
      <c r="N4" s="27">
        <v>0</v>
      </c>
      <c r="O4" s="27">
        <v>0</v>
      </c>
    </row>
    <row r="5" spans="1:10" ht="15">
      <c r="A5" s="1" t="s">
        <v>7</v>
      </c>
      <c r="B5" s="1">
        <v>2.1499</v>
      </c>
      <c r="E5" s="1">
        <v>2019</v>
      </c>
      <c r="F5" s="1">
        <v>45.44</v>
      </c>
      <c r="G5" s="16"/>
      <c r="H5" s="14" t="s">
        <v>76</v>
      </c>
      <c r="I5" s="14">
        <v>1.38</v>
      </c>
      <c r="J5" s="16"/>
    </row>
    <row r="6" spans="1:6" ht="15">
      <c r="A6" s="1" t="s">
        <v>10</v>
      </c>
      <c r="B6" s="1">
        <v>2.0124</v>
      </c>
      <c r="E6" s="1">
        <v>2019</v>
      </c>
      <c r="F6" s="1">
        <v>40.06</v>
      </c>
    </row>
    <row r="7" spans="1:6" ht="15">
      <c r="A7" s="1" t="s">
        <v>6</v>
      </c>
      <c r="B7" s="1">
        <v>0.048</v>
      </c>
      <c r="E7" s="1">
        <v>2019</v>
      </c>
      <c r="F7" s="1">
        <v>43.84</v>
      </c>
    </row>
    <row r="8" spans="1:6" ht="15">
      <c r="A8" s="1" t="s">
        <v>11</v>
      </c>
      <c r="B8" s="1">
        <v>1.0252</v>
      </c>
      <c r="E8" s="1">
        <v>2019</v>
      </c>
      <c r="F8" s="1">
        <v>46.02</v>
      </c>
    </row>
    <row r="9" spans="1:6" ht="15">
      <c r="A9" s="1" t="s">
        <v>12</v>
      </c>
      <c r="B9" s="1">
        <v>1.5499</v>
      </c>
      <c r="E9" s="1">
        <v>2019</v>
      </c>
      <c r="F9" s="1">
        <v>47.61</v>
      </c>
    </row>
    <row r="10" spans="1:6" ht="15">
      <c r="A10" s="1" t="s">
        <v>13</v>
      </c>
      <c r="B10" s="1">
        <v>1.1409</v>
      </c>
      <c r="E10" s="1">
        <v>2019</v>
      </c>
      <c r="F10" s="1">
        <v>50.42</v>
      </c>
    </row>
    <row r="11" spans="1:6" ht="15">
      <c r="A11" s="1" t="s">
        <v>2</v>
      </c>
      <c r="B11" s="1">
        <v>1.1549</v>
      </c>
      <c r="E11" s="1">
        <v>2019</v>
      </c>
      <c r="F11" s="1">
        <v>49.36</v>
      </c>
    </row>
    <row r="12" spans="1:6" ht="15">
      <c r="A12" s="1" t="s">
        <v>3</v>
      </c>
      <c r="B12" s="1">
        <v>1.9847</v>
      </c>
      <c r="E12" s="1">
        <v>2019</v>
      </c>
      <c r="F12" s="1">
        <v>47.57</v>
      </c>
    </row>
    <row r="13" spans="1:10" ht="15">
      <c r="A13" s="1" t="s">
        <v>14</v>
      </c>
      <c r="B13" s="1">
        <v>1.5318</v>
      </c>
      <c r="E13" s="1">
        <v>2019</v>
      </c>
      <c r="F13" s="1">
        <v>37.95</v>
      </c>
      <c r="G13" s="16"/>
      <c r="H13" s="16"/>
      <c r="I13" s="16"/>
      <c r="J13" s="16"/>
    </row>
    <row r="14" spans="1:6" ht="15">
      <c r="A14" s="1" t="s">
        <v>15</v>
      </c>
      <c r="B14" s="1">
        <v>0.396</v>
      </c>
      <c r="E14" s="1">
        <v>2019</v>
      </c>
      <c r="F14" s="1">
        <v>49.02</v>
      </c>
    </row>
    <row r="15" spans="1:6" ht="15">
      <c r="A15" s="1" t="s">
        <v>4</v>
      </c>
      <c r="B15" s="1">
        <v>0.6549</v>
      </c>
      <c r="E15" s="1">
        <v>2019</v>
      </c>
      <c r="F15" s="1">
        <v>50.47</v>
      </c>
    </row>
    <row r="16" spans="1:6" ht="15">
      <c r="A16" s="1" t="s">
        <v>16</v>
      </c>
      <c r="B16" s="1">
        <v>1.8531</v>
      </c>
      <c r="E16" s="1">
        <v>2019</v>
      </c>
      <c r="F16" s="1">
        <v>51.16</v>
      </c>
    </row>
    <row r="17" spans="1:6" ht="15">
      <c r="A17" s="1" t="s">
        <v>17</v>
      </c>
      <c r="B17" s="1">
        <v>0.0007</v>
      </c>
      <c r="E17" s="1">
        <v>2019</v>
      </c>
      <c r="F17" s="1">
        <v>39.68</v>
      </c>
    </row>
    <row r="18" spans="1:6" ht="15">
      <c r="A18" s="1" t="s">
        <v>18</v>
      </c>
      <c r="B18" s="1">
        <v>0.982</v>
      </c>
      <c r="E18" s="1">
        <v>2019</v>
      </c>
      <c r="F18" s="1">
        <v>45.88</v>
      </c>
    </row>
    <row r="19" spans="1:6" ht="15">
      <c r="A19" s="1" t="s">
        <v>19</v>
      </c>
      <c r="B19" s="1">
        <v>1.449</v>
      </c>
      <c r="E19" s="1">
        <v>2019</v>
      </c>
      <c r="F19" s="1">
        <v>43.31</v>
      </c>
    </row>
    <row r="20" spans="1:6" ht="15">
      <c r="A20" s="1" t="s">
        <v>5</v>
      </c>
      <c r="B20" s="1">
        <v>0.1765</v>
      </c>
      <c r="E20" s="1">
        <v>2019</v>
      </c>
      <c r="F20" s="1">
        <v>46.39</v>
      </c>
    </row>
    <row r="21" spans="1:6" ht="15">
      <c r="A21" s="6" t="s">
        <v>20</v>
      </c>
      <c r="B21" s="6">
        <v>1.369</v>
      </c>
      <c r="E21" s="6">
        <v>2019</v>
      </c>
      <c r="F21" s="6">
        <v>50.59</v>
      </c>
    </row>
    <row r="22" spans="5:6" ht="15">
      <c r="E22" s="1" t="s">
        <v>28</v>
      </c>
      <c r="F22" s="5">
        <f>AVERAGE(F3:F21)</f>
        <v>45.66052631578947</v>
      </c>
    </row>
    <row r="23" spans="5:6" ht="15">
      <c r="E23" s="1" t="s">
        <v>23</v>
      </c>
      <c r="F23" s="5">
        <f>STDEV(F3:F21)</f>
        <v>4.932446399645973</v>
      </c>
    </row>
    <row r="25" spans="7:10" ht="15">
      <c r="G25" s="17"/>
      <c r="H25" s="17"/>
      <c r="I25" s="17"/>
      <c r="J25" s="17"/>
    </row>
    <row r="26" spans="7:10" ht="15">
      <c r="G26" s="5"/>
      <c r="H26" s="5"/>
      <c r="I26" s="5"/>
      <c r="J26" s="5"/>
    </row>
    <row r="27" spans="7:10" ht="15">
      <c r="G27" s="5"/>
      <c r="H27" s="5"/>
      <c r="I27" s="5"/>
      <c r="J27" s="5"/>
    </row>
  </sheetData>
  <mergeCells count="3">
    <mergeCell ref="A1:B1"/>
    <mergeCell ref="E1:F1"/>
    <mergeCell ref="H1:I1"/>
  </mergeCells>
  <printOptions/>
  <pageMargins left="0.511811024" right="0.511811024" top="0.787401575" bottom="0.787401575" header="0.31496062" footer="0.31496062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 topLeftCell="A1">
      <selection activeCell="D14" sqref="D14"/>
    </sheetView>
  </sheetViews>
  <sheetFormatPr defaultColWidth="9.140625" defaultRowHeight="15"/>
  <cols>
    <col min="1" max="1" width="16.8515625" style="1" bestFit="1" customWidth="1"/>
    <col min="2" max="4" width="9.140625" style="1" customWidth="1"/>
    <col min="5" max="5" width="19.57421875" style="1" bestFit="1" customWidth="1"/>
    <col min="6" max="6" width="21.140625" style="1" bestFit="1" customWidth="1"/>
    <col min="7" max="9" width="9.140625" style="1" customWidth="1"/>
    <col min="10" max="10" width="16.28125" style="1" bestFit="1" customWidth="1"/>
    <col min="11" max="16384" width="9.140625" style="1" customWidth="1"/>
  </cols>
  <sheetData>
    <row r="1" spans="1:10" ht="15">
      <c r="A1" s="162">
        <v>2021</v>
      </c>
      <c r="B1" s="162"/>
      <c r="F1" s="19" t="s">
        <v>29</v>
      </c>
      <c r="I1" s="13" t="s">
        <v>30</v>
      </c>
      <c r="J1" s="13" t="s">
        <v>55</v>
      </c>
    </row>
    <row r="2" spans="1:10" ht="15">
      <c r="A2" s="8" t="s">
        <v>25</v>
      </c>
      <c r="B2" s="3" t="s">
        <v>1</v>
      </c>
      <c r="E2" s="12" t="s">
        <v>67</v>
      </c>
      <c r="F2" s="11">
        <f>('Levedura de cerveja'!L3*0.49975)+(Goldsac!S4*0.5)+('Nucleobase 1.5'!E2*0.00025)</f>
        <v>4816.1215</v>
      </c>
      <c r="H2" s="12" t="s">
        <v>54</v>
      </c>
      <c r="I2" s="9">
        <f>('Levedura de cerveja'!N4*0.49975)+(Goldsac!V2*0.5)+('Nucleobase 1.5'!H2*0.00025)</f>
        <v>5.377062910714286</v>
      </c>
      <c r="J2" s="9">
        <f>('Levedura de cerveja'!O4*0.49975)+(Goldsac!W2*0.5)+('Nucleobase 1.5'!I2*0.00025)</f>
        <v>8.974141071428573</v>
      </c>
    </row>
    <row r="3" spans="1:8" ht="15">
      <c r="A3" s="1" t="str">
        <f>'Nucleobase 1.5'!A3</f>
        <v>Ácido aspártico</v>
      </c>
      <c r="B3" s="5">
        <f>(('Levedura de cerveja'!B3*0.49975)+(Goldsac!O3*0.5)+('Nucleobase 1.5'!B3*0.00025))</f>
        <v>3.049034625</v>
      </c>
      <c r="E3" s="14"/>
      <c r="H3" s="14"/>
    </row>
    <row r="4" spans="1:6" ht="15">
      <c r="A4" s="1" t="str">
        <f>'Nucleobase 1.5'!A4</f>
        <v>Ácido glutâmico</v>
      </c>
      <c r="B4" s="5">
        <f>(('Levedura de cerveja'!B4*0.49975)+(Goldsac!O4*0.5)+('Nucleobase 1.5'!B4*0.00025))</f>
        <v>6.009166625000001</v>
      </c>
      <c r="E4" s="14"/>
      <c r="F4" s="20" t="s">
        <v>33</v>
      </c>
    </row>
    <row r="5" spans="1:6" ht="15">
      <c r="A5" s="1" t="str">
        <f>'Nucleobase 1.5'!A5</f>
        <v>Alanina</v>
      </c>
      <c r="B5" s="5">
        <f>(('Levedura de cerveja'!B5*0.49975)+(Goldsac!O5*0.5)+('Nucleobase 1.5'!B5*0.00025))</f>
        <v>2.593357525</v>
      </c>
      <c r="E5" s="12" t="s">
        <v>67</v>
      </c>
      <c r="F5" s="18">
        <f>('Levedura de cerveja'!F22*0.49975)+(46*0.5)+('Nucleobase 1.5'!E8*0.00025)</f>
        <v>45.83298635964913</v>
      </c>
    </row>
    <row r="6" spans="1:2" ht="15">
      <c r="A6" s="1" t="str">
        <f>'Nucleobase 1.5'!A6</f>
        <v>Arginina</v>
      </c>
      <c r="B6" s="5">
        <f>(('Levedura de cerveja'!B6*0.49975)+(Goldsac!O6*0.5)+('Nucleobase 1.5'!B6*0.00025))</f>
        <v>2.1127669</v>
      </c>
    </row>
    <row r="7" spans="1:6" ht="15">
      <c r="A7" s="1" t="str">
        <f>'Nucleobase 1.5'!A7</f>
        <v>Cistina</v>
      </c>
      <c r="B7" s="5">
        <f>(('Levedura de cerveja'!B7*0.49975)+(Goldsac!O7*0.5)+('Nucleobase 1.5'!B7*0.00025))</f>
        <v>0.33261550000000006</v>
      </c>
      <c r="E7" s="14"/>
      <c r="F7" s="20" t="s">
        <v>79</v>
      </c>
    </row>
    <row r="8" spans="1:6" ht="15">
      <c r="A8" s="1" t="str">
        <f>'Nucleobase 1.5'!A8</f>
        <v>Fenilalanina</v>
      </c>
      <c r="B8" s="5">
        <f>(('Levedura de cerveja'!B8*0.49975)+(Goldsac!O8*0.5)+('Nucleobase 1.5'!B8*0.00025))</f>
        <v>1.5610811999999998</v>
      </c>
      <c r="E8" s="12" t="s">
        <v>67</v>
      </c>
      <c r="F8" s="18">
        <f>('Levedura de cerveja'!I5*0.49975)+(7*0.5)+(0.53*0.00025)</f>
        <v>4.1897875</v>
      </c>
    </row>
    <row r="9" spans="1:2" ht="15">
      <c r="A9" s="1" t="str">
        <f>'Nucleobase 1.5'!A9</f>
        <v>Glicina</v>
      </c>
      <c r="B9" s="5">
        <f>(('Levedura de cerveja'!B9*0.49975)+(Goldsac!O9*0.5)+('Nucleobase 1.5'!B9*0.00025))</f>
        <v>1.634337525</v>
      </c>
    </row>
    <row r="10" spans="1:2" ht="15">
      <c r="A10" s="1" t="str">
        <f>'Nucleobase 1.5'!A10</f>
        <v>Histidina</v>
      </c>
      <c r="B10" s="5">
        <f>(('Levedura de cerveja'!B10*0.49975)+(Goldsac!O10*0.5)+('Nucleobase 1.5'!B10*0.00025))</f>
        <v>1.310957275</v>
      </c>
    </row>
    <row r="11" spans="1:2" ht="15">
      <c r="A11" s="1" t="str">
        <f>'Nucleobase 1.5'!A11</f>
        <v>Isoleucina</v>
      </c>
      <c r="B11" s="5">
        <f>(('Levedura de cerveja'!B11*0.49975)+(Goldsac!O11*0.5)+('Nucleobase 1.5'!B11*0.00025))</f>
        <v>1.262273775</v>
      </c>
    </row>
    <row r="12" spans="1:2" ht="15">
      <c r="A12" s="1" t="str">
        <f>'Nucleobase 1.5'!A12</f>
        <v>Leucina</v>
      </c>
      <c r="B12" s="5">
        <f>(('Levedura de cerveja'!B12*0.49975)+(Goldsac!O12*0.5)+('Nucleobase 1.5'!B12*0.00025))</f>
        <v>3.2611538249999996</v>
      </c>
    </row>
    <row r="13" spans="1:2" ht="15">
      <c r="A13" s="1" t="str">
        <f>'Nucleobase 1.5'!A13</f>
        <v xml:space="preserve">Lisina </v>
      </c>
      <c r="B13" s="5">
        <f>(('Levedura de cerveja'!B13*0.49975)+(Goldsac!O13*0.5)+('Nucleobase 1.5'!B13*0.00025))</f>
        <v>1.76580955</v>
      </c>
    </row>
    <row r="14" spans="1:2" ht="15">
      <c r="A14" s="1" t="str">
        <f>'Nucleobase 1.5'!A14</f>
        <v>Metionina</v>
      </c>
      <c r="B14" s="5">
        <f>(('Levedura de cerveja'!B14*0.49975)+(Goldsac!O14*0.5)+('Nucleobase 1.5'!B14*0.00025))</f>
        <v>0.5166510000000001</v>
      </c>
    </row>
    <row r="15" spans="1:2" ht="15">
      <c r="A15" s="1" t="str">
        <f>'Nucleobase 1.5'!A15</f>
        <v>Prolina</v>
      </c>
      <c r="B15" s="5">
        <f>(('Levedura de cerveja'!B15*0.49975)+(Goldsac!O15*0.5)+('Nucleobase 1.5'!B15*0.00025))</f>
        <v>2.0532587749999998</v>
      </c>
    </row>
    <row r="16" spans="1:2" ht="15">
      <c r="A16" s="1" t="str">
        <f>'Nucleobase 1.5'!A16</f>
        <v>Serina</v>
      </c>
      <c r="B16" s="5">
        <f>(('Levedura de cerveja'!B16*0.49975)+(Goldsac!O16*0.5)+('Nucleobase 1.5'!B16*0.00025))</f>
        <v>2.0683667249999997</v>
      </c>
    </row>
    <row r="17" spans="1:2" ht="15">
      <c r="A17" s="1" t="str">
        <f>'Nucleobase 1.5'!A17</f>
        <v>Taurina</v>
      </c>
      <c r="B17" s="5">
        <f>(('Levedura de cerveja'!B17*0.49975)+(Goldsac!O17*0.5)+('Nucleobase 1.5'!B17*0.00025))</f>
        <v>0.004219825</v>
      </c>
    </row>
    <row r="18" spans="1:2" ht="15">
      <c r="A18" s="1" t="str">
        <f>'Nucleobase 1.5'!A18</f>
        <v>Tirosina</v>
      </c>
      <c r="B18" s="5">
        <f>(('Levedura de cerveja'!B18*0.49975)+(Goldsac!O18*0.5)+('Nucleobase 1.5'!B18*0.00025))</f>
        <v>1.2881095</v>
      </c>
    </row>
    <row r="19" spans="1:2" ht="15">
      <c r="A19" s="1" t="str">
        <f>'Nucleobase 1.5'!A19</f>
        <v>Treonina</v>
      </c>
      <c r="B19" s="5">
        <f>(('Levedura de cerveja'!B19*0.49975)+(Goldsac!O19*0.5)+('Nucleobase 1.5'!B19*0.00025))</f>
        <v>1.52040025</v>
      </c>
    </row>
    <row r="20" spans="1:2" ht="15">
      <c r="A20" s="6" t="str">
        <f>'Nucleobase 1.5'!A20</f>
        <v>Valina</v>
      </c>
      <c r="B20" s="9">
        <f>(('Levedura de cerveja'!B20*0.49975)+(Goldsac!O20*0.5)+('Nucleobase 1.5'!B20*0.00025))</f>
        <v>0.481045875</v>
      </c>
    </row>
  </sheetData>
  <mergeCells count="1">
    <mergeCell ref="A1:B1"/>
  </mergeCells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AL23"/>
  <sheetViews>
    <sheetView tabSelected="1" workbookViewId="0" topLeftCell="A1">
      <pane xSplit="8" topLeftCell="I1" activePane="topRight" state="frozen"/>
      <selection pane="topRight" activeCell="AK28" sqref="AK28"/>
    </sheetView>
  </sheetViews>
  <sheetFormatPr defaultColWidth="9.140625" defaultRowHeight="15"/>
  <cols>
    <col min="1" max="1" width="9.140625" style="28" customWidth="1"/>
    <col min="2" max="2" width="33.421875" style="28" customWidth="1"/>
    <col min="3" max="4" width="28.7109375" style="28" customWidth="1"/>
    <col min="5" max="10" width="21.7109375" style="28" customWidth="1"/>
    <col min="11" max="11" width="14.7109375" style="28" customWidth="1"/>
    <col min="12" max="13" width="21.7109375" style="57" customWidth="1"/>
    <col min="14" max="14" width="14.7109375" style="28" customWidth="1"/>
    <col min="15" max="16" width="21.7109375" style="28" customWidth="1"/>
    <col min="17" max="17" width="14.7109375" style="28" customWidth="1"/>
    <col min="18" max="19" width="21.7109375" style="28" customWidth="1"/>
    <col min="20" max="20" width="14.7109375" style="28" customWidth="1"/>
    <col min="21" max="22" width="21.7109375" style="28" customWidth="1"/>
    <col min="23" max="23" width="14.7109375" style="28" customWidth="1"/>
    <col min="24" max="25" width="21.7109375" style="28" customWidth="1"/>
    <col min="26" max="26" width="14.7109375" style="28" customWidth="1"/>
    <col min="27" max="28" width="21.7109375" style="28" customWidth="1"/>
    <col min="29" max="29" width="14.7109375" style="28" customWidth="1"/>
    <col min="30" max="31" width="21.7109375" style="28" customWidth="1"/>
    <col min="32" max="32" width="14.7109375" style="28" customWidth="1"/>
    <col min="33" max="34" width="21.7109375" style="28" customWidth="1"/>
    <col min="35" max="35" width="14.7109375" style="28" customWidth="1"/>
    <col min="36" max="38" width="21.7109375" style="28" customWidth="1"/>
    <col min="39" max="16384" width="9.140625" style="28" customWidth="1"/>
  </cols>
  <sheetData>
    <row r="1" spans="12:13" s="30" customFormat="1" ht="16.5">
      <c r="L1" s="35"/>
      <c r="M1" s="35"/>
    </row>
    <row r="2" spans="12:13" s="30" customFormat="1" ht="16.5">
      <c r="L2" s="35"/>
      <c r="M2" s="35"/>
    </row>
    <row r="3" spans="12:13" s="30" customFormat="1" ht="16.5">
      <c r="L3" s="35"/>
      <c r="M3" s="35"/>
    </row>
    <row r="4" spans="12:13" s="30" customFormat="1" ht="16.5">
      <c r="L4" s="35"/>
      <c r="M4" s="35"/>
    </row>
    <row r="5" spans="12:13" s="30" customFormat="1" ht="16.5">
      <c r="L5" s="35"/>
      <c r="M5" s="35"/>
    </row>
    <row r="6" spans="12:13" s="30" customFormat="1" ht="17.25" thickBot="1">
      <c r="L6" s="35"/>
      <c r="M6" s="35"/>
    </row>
    <row r="7" spans="3:38" s="36" customFormat="1" ht="30" customHeight="1" thickBot="1">
      <c r="C7" s="184" t="s">
        <v>105</v>
      </c>
      <c r="D7" s="185"/>
      <c r="E7" s="186" t="s">
        <v>106</v>
      </c>
      <c r="F7" s="187"/>
      <c r="G7" s="186" t="s">
        <v>107</v>
      </c>
      <c r="H7" s="187"/>
      <c r="I7" s="188" t="s">
        <v>32</v>
      </c>
      <c r="J7" s="189"/>
      <c r="K7" s="190"/>
      <c r="L7" s="191" t="s">
        <v>35</v>
      </c>
      <c r="M7" s="192"/>
      <c r="N7" s="192"/>
      <c r="O7" s="193" t="s">
        <v>58</v>
      </c>
      <c r="P7" s="194"/>
      <c r="Q7" s="195"/>
      <c r="R7" s="166" t="s">
        <v>59</v>
      </c>
      <c r="S7" s="167"/>
      <c r="T7" s="168"/>
      <c r="U7" s="222" t="s">
        <v>60</v>
      </c>
      <c r="V7" s="223"/>
      <c r="W7" s="223"/>
      <c r="X7" s="164" t="s">
        <v>61</v>
      </c>
      <c r="Y7" s="165"/>
      <c r="Z7" s="165"/>
      <c r="AA7" s="166" t="s">
        <v>77</v>
      </c>
      <c r="AB7" s="167"/>
      <c r="AC7" s="167"/>
      <c r="AD7" s="177" t="s">
        <v>64</v>
      </c>
      <c r="AE7" s="178"/>
      <c r="AF7" s="179"/>
      <c r="AG7" s="164" t="s">
        <v>62</v>
      </c>
      <c r="AH7" s="165"/>
      <c r="AI7" s="165"/>
      <c r="AJ7" s="166" t="s">
        <v>63</v>
      </c>
      <c r="AK7" s="167"/>
      <c r="AL7" s="168"/>
    </row>
    <row r="8" spans="3:38" s="35" customFormat="1" ht="57.75" customHeight="1" thickBot="1">
      <c r="C8" s="52" t="s">
        <v>103</v>
      </c>
      <c r="D8" s="53" t="s">
        <v>104</v>
      </c>
      <c r="E8" s="42" t="s">
        <v>102</v>
      </c>
      <c r="F8" s="41" t="s">
        <v>102</v>
      </c>
      <c r="G8" s="54" t="s">
        <v>102</v>
      </c>
      <c r="H8" s="41" t="s">
        <v>102</v>
      </c>
      <c r="I8" s="56"/>
      <c r="J8" s="56"/>
      <c r="K8" s="66" t="s">
        <v>72</v>
      </c>
      <c r="L8" s="55"/>
      <c r="M8" s="56"/>
      <c r="N8" s="72" t="s">
        <v>71</v>
      </c>
      <c r="O8" s="55"/>
      <c r="P8" s="56"/>
      <c r="Q8" s="72" t="s">
        <v>69</v>
      </c>
      <c r="R8" s="55"/>
      <c r="S8" s="56"/>
      <c r="T8" s="67" t="s">
        <v>70</v>
      </c>
      <c r="U8" s="55"/>
      <c r="V8" s="56"/>
      <c r="W8" s="72" t="s">
        <v>73</v>
      </c>
      <c r="X8" s="55"/>
      <c r="Y8" s="56"/>
      <c r="Z8" s="72" t="s">
        <v>74</v>
      </c>
      <c r="AA8" s="55"/>
      <c r="AB8" s="56"/>
      <c r="AC8" s="72" t="s">
        <v>78</v>
      </c>
      <c r="AD8" s="55"/>
      <c r="AE8" s="56"/>
      <c r="AF8" s="78" t="s">
        <v>65</v>
      </c>
      <c r="AG8" s="142"/>
      <c r="AH8" s="143"/>
      <c r="AI8" s="146" t="s">
        <v>68</v>
      </c>
      <c r="AJ8" s="55"/>
      <c r="AK8" s="56"/>
      <c r="AL8" s="150" t="s">
        <v>108</v>
      </c>
    </row>
    <row r="9" spans="3:38" ht="17.25" thickBot="1">
      <c r="C9" s="51">
        <v>100</v>
      </c>
      <c r="D9" s="51">
        <v>0</v>
      </c>
      <c r="E9" s="64">
        <v>10</v>
      </c>
      <c r="F9" s="43">
        <f>0</f>
        <v>0</v>
      </c>
      <c r="G9" s="65">
        <v>4</v>
      </c>
      <c r="H9" s="46">
        <f>0</f>
        <v>0</v>
      </c>
      <c r="I9" s="151">
        <f>($E9*'Base de dados'!$D$2)/100</f>
        <v>4.5660526315789465</v>
      </c>
      <c r="J9" s="152">
        <f>($F9*'Base de dados'!$G$2)/100</f>
        <v>0</v>
      </c>
      <c r="K9" s="153">
        <f>I9+J9</f>
        <v>4.5660526315789465</v>
      </c>
      <c r="L9" s="62">
        <f>($E9*'Base de dados'!$D$19/100)</f>
        <v>0.15318</v>
      </c>
      <c r="M9" s="63">
        <f>($F9*'Base de dados'!$G$19)/100</f>
        <v>0</v>
      </c>
      <c r="N9" s="68">
        <f>L9+M9</f>
        <v>0.15318</v>
      </c>
      <c r="O9" s="76">
        <f>$E9*'Base de dados'!$D$5/100</f>
        <v>433.9</v>
      </c>
      <c r="P9" s="77">
        <f>$F9*'Base de dados'!$G$5/100</f>
        <v>0</v>
      </c>
      <c r="Q9" s="80">
        <f>O9+P9</f>
        <v>433.9</v>
      </c>
      <c r="R9" s="98">
        <f>$E9*'Base de dados'!$D$12/100</f>
        <v>0.20123999999999997</v>
      </c>
      <c r="S9" s="99">
        <f>$F9*'Base de dados'!$G$12/100</f>
        <v>0</v>
      </c>
      <c r="T9" s="100">
        <f>R9+S9</f>
        <v>0.20123999999999997</v>
      </c>
      <c r="U9" s="119">
        <f>$E9*'Base de dados'!$D$13/100</f>
        <v>0.0048</v>
      </c>
      <c r="V9" s="120">
        <f>$F9*'Base de dados'!$G$13/100</f>
        <v>0</v>
      </c>
      <c r="W9" s="126">
        <f>U9+V9</f>
        <v>0.0048</v>
      </c>
      <c r="X9" s="87">
        <f>$E9*'Base de dados'!$D$20/100</f>
        <v>0.039599999999999996</v>
      </c>
      <c r="Y9" s="88">
        <f>$F9*'Base de dados'!$G$20/100</f>
        <v>0</v>
      </c>
      <c r="Z9" s="89">
        <f>X9+Y9</f>
        <v>0.039599999999999996</v>
      </c>
      <c r="AA9" s="98">
        <f>$E9*'Base de dados'!$D$3/100</f>
        <v>0.14</v>
      </c>
      <c r="AB9" s="99">
        <f>$F9*'Base de dados'!$G$3/100</f>
        <v>0</v>
      </c>
      <c r="AC9" s="100">
        <f>AA9+AB9</f>
        <v>0.14</v>
      </c>
      <c r="AD9" s="113">
        <f>$E9*'Base de dados'!$D$16/100</f>
        <v>0.11409000000000001</v>
      </c>
      <c r="AE9" s="114">
        <f>$F9*'Base de dados'!$G$16/100</f>
        <v>0</v>
      </c>
      <c r="AF9" s="139">
        <f>AD9+AE9</f>
        <v>0.11409000000000001</v>
      </c>
      <c r="AG9" s="136">
        <f>$G9*'Base de dados'!$J$5/100</f>
        <v>0.72</v>
      </c>
      <c r="AH9" s="137">
        <f>$H9*'Base de dados'!$G$6/100</f>
        <v>0</v>
      </c>
      <c r="AI9" s="145">
        <f>AG9+AH9</f>
        <v>0.72</v>
      </c>
      <c r="AJ9" s="108">
        <f>$G9*Maximos!$C$10/100</f>
        <v>1.31736</v>
      </c>
      <c r="AK9" s="109">
        <f>$H9*'Provillus 4PET'!$J$2/100</f>
        <v>0</v>
      </c>
      <c r="AL9" s="110">
        <f>AJ9+AK9</f>
        <v>1.31736</v>
      </c>
    </row>
    <row r="10" spans="3:38" ht="15">
      <c r="C10" s="49">
        <v>90</v>
      </c>
      <c r="D10" s="49">
        <v>10</v>
      </c>
      <c r="E10" s="43">
        <f>E9*0.9</f>
        <v>9</v>
      </c>
      <c r="F10" s="44">
        <f>E9*0.1</f>
        <v>1</v>
      </c>
      <c r="G10" s="46">
        <f>G9*0.9</f>
        <v>3.6</v>
      </c>
      <c r="H10" s="47">
        <f>G9*0.1</f>
        <v>0.4</v>
      </c>
      <c r="I10" s="154">
        <f>($E10*'Base de dados'!$D$2)/100</f>
        <v>4.109447368421052</v>
      </c>
      <c r="J10" s="155">
        <f>($F10*'Base de dados'!$G$2)/100</f>
        <v>0.45832986359649125</v>
      </c>
      <c r="K10" s="156">
        <f aca="true" t="shared" si="0" ref="K10:K19">I10+J10</f>
        <v>4.567777232017543</v>
      </c>
      <c r="L10" s="58">
        <f>($E10*'Base de dados'!$D$19/100)</f>
        <v>0.137862</v>
      </c>
      <c r="M10" s="60">
        <f>($F10*'Base de dados'!$G$19)/100</f>
        <v>0.0176580955</v>
      </c>
      <c r="N10" s="69">
        <f aca="true" t="shared" si="1" ref="N10:N19">L10+M10</f>
        <v>0.1555200955</v>
      </c>
      <c r="O10" s="73">
        <f>$E10*'Base de dados'!$D$5/100</f>
        <v>390.51</v>
      </c>
      <c r="P10" s="71">
        <f>$F10*'Base de dados'!$G$5/100</f>
        <v>48.161215</v>
      </c>
      <c r="Q10" s="81">
        <f aca="true" t="shared" si="2" ref="Q10:Q19">O10+P10</f>
        <v>438.67121499999996</v>
      </c>
      <c r="R10" s="101">
        <f>$E10*'Base de dados'!$D$12/100</f>
        <v>0.181116</v>
      </c>
      <c r="S10" s="102">
        <f>$F10*'Base de dados'!$G$12/100</f>
        <v>0.021127669</v>
      </c>
      <c r="T10" s="103">
        <f aca="true" t="shared" si="3" ref="T10:T19">R10+S10</f>
        <v>0.20224366900000001</v>
      </c>
      <c r="U10" s="92">
        <f>$E10*'Base de dados'!$D$13/100</f>
        <v>0.00432</v>
      </c>
      <c r="V10" s="93">
        <f>$F10*'Base de dados'!$G$13/100</f>
        <v>0.0033261550000000008</v>
      </c>
      <c r="W10" s="94">
        <f aca="true" t="shared" si="4" ref="W10:W19">U10+V10</f>
        <v>0.007646155000000001</v>
      </c>
      <c r="X10" s="84">
        <f>$E10*'Base de dados'!$D$20/100</f>
        <v>0.03564</v>
      </c>
      <c r="Y10" s="83">
        <f>$F10*'Base de dados'!$G$20/100</f>
        <v>0.005166510000000001</v>
      </c>
      <c r="Z10" s="90">
        <f aca="true" t="shared" si="5" ref="Z10:Z18">X10+Y10</f>
        <v>0.04080651</v>
      </c>
      <c r="AA10" s="101">
        <f>$E10*'Base de dados'!$D$3/100</f>
        <v>0.126</v>
      </c>
      <c r="AB10" s="102">
        <f>$F10*'Base de dados'!$G$3/100</f>
        <v>0.041897875</v>
      </c>
      <c r="AC10" s="103">
        <f aca="true" t="shared" si="6" ref="AC10:AC19">AA10+AB10</f>
        <v>0.167897875</v>
      </c>
      <c r="AD10" s="115">
        <f>$E10*'Base de dados'!$D$16/100</f>
        <v>0.10268100000000001</v>
      </c>
      <c r="AE10" s="116">
        <f>$F10*'Base de dados'!$G$16/100</f>
        <v>0.01310957275</v>
      </c>
      <c r="AF10" s="140">
        <f aca="true" t="shared" si="7" ref="AF10:AF19">AD10+AE10</f>
        <v>0.11579057275000001</v>
      </c>
      <c r="AG10" s="84">
        <f>$G10*'Base de dados'!$J$5/100</f>
        <v>0.648</v>
      </c>
      <c r="AH10" s="83">
        <f>$H10*'Base de dados'!$G$6/100</f>
        <v>0.021508251642857145</v>
      </c>
      <c r="AI10" s="90">
        <f aca="true" t="shared" si="8" ref="AI10:AI19">AG10+AH10</f>
        <v>0.6695082516428572</v>
      </c>
      <c r="AJ10" s="101">
        <f>$G10*Maximos!$C$10/100</f>
        <v>1.1856240000000002</v>
      </c>
      <c r="AK10" s="102">
        <f>$H10*'Provillus 4PET'!$J$2/100</f>
        <v>0.03589656428571429</v>
      </c>
      <c r="AL10" s="111">
        <f aca="true" t="shared" si="9" ref="AL10:AL19">AJ10+AK10</f>
        <v>1.2215205642857145</v>
      </c>
    </row>
    <row r="11" spans="3:38" ht="15">
      <c r="C11" s="49">
        <v>80</v>
      </c>
      <c r="D11" s="49">
        <v>20</v>
      </c>
      <c r="E11" s="44">
        <f>E9*0.8</f>
        <v>8</v>
      </c>
      <c r="F11" s="44">
        <f>E9*0.2</f>
        <v>2</v>
      </c>
      <c r="G11" s="47">
        <f>G9*0.8</f>
        <v>3.2</v>
      </c>
      <c r="H11" s="47">
        <f>G9*0.2</f>
        <v>0.8</v>
      </c>
      <c r="I11" s="154">
        <f>($E11*'Base de dados'!$D$2)/100</f>
        <v>3.6528421052631574</v>
      </c>
      <c r="J11" s="155">
        <f>($F11*'Base de dados'!$G$2)/100</f>
        <v>0.9166597271929825</v>
      </c>
      <c r="K11" s="156">
        <f t="shared" si="0"/>
        <v>4.56950183245614</v>
      </c>
      <c r="L11" s="58">
        <f>($E11*'Base de dados'!$D$19/100)</f>
        <v>0.122544</v>
      </c>
      <c r="M11" s="60">
        <f>($F11*'Base de dados'!$G$19)/100</f>
        <v>0.035316191</v>
      </c>
      <c r="N11" s="69">
        <f t="shared" si="1"/>
        <v>0.15786019099999998</v>
      </c>
      <c r="O11" s="73">
        <f>$E11*'Base de dados'!$D$5/100</f>
        <v>347.12</v>
      </c>
      <c r="P11" s="71">
        <f>$F11*'Base de dados'!$G$5/100</f>
        <v>96.32243</v>
      </c>
      <c r="Q11" s="81">
        <f t="shared" si="2"/>
        <v>443.44243</v>
      </c>
      <c r="R11" s="101">
        <f>$E11*'Base de dados'!$D$12/100</f>
        <v>0.160992</v>
      </c>
      <c r="S11" s="102">
        <f>$F11*'Base de dados'!$G$12/100</f>
        <v>0.042255338</v>
      </c>
      <c r="T11" s="103">
        <f t="shared" si="3"/>
        <v>0.203247338</v>
      </c>
      <c r="U11" s="92">
        <f>$E11*'Base de dados'!$D$13/100</f>
        <v>0.00384</v>
      </c>
      <c r="V11" s="93">
        <f>$F11*'Base de dados'!$G$13/100</f>
        <v>0.0066523100000000016</v>
      </c>
      <c r="W11" s="94">
        <f t="shared" si="4"/>
        <v>0.010492310000000001</v>
      </c>
      <c r="X11" s="84">
        <f>$E11*'Base de dados'!$D$20/100</f>
        <v>0.03168</v>
      </c>
      <c r="Y11" s="83">
        <f>$F11*'Base de dados'!$G$20/100</f>
        <v>0.010333020000000002</v>
      </c>
      <c r="Z11" s="90">
        <f t="shared" si="5"/>
        <v>0.04201302</v>
      </c>
      <c r="AA11" s="101">
        <f>$E11*'Base de dados'!$D$3/100</f>
        <v>0.11199999999999999</v>
      </c>
      <c r="AB11" s="102">
        <f>$F11*'Base de dados'!$G$3/100</f>
        <v>0.08379575</v>
      </c>
      <c r="AC11" s="103">
        <f t="shared" si="6"/>
        <v>0.19579575</v>
      </c>
      <c r="AD11" s="115">
        <f>$E11*'Base de dados'!$D$16/100</f>
        <v>0.091272</v>
      </c>
      <c r="AE11" s="116">
        <f>$F11*'Base de dados'!$G$16/100</f>
        <v>0.0262191455</v>
      </c>
      <c r="AF11" s="140">
        <f t="shared" si="7"/>
        <v>0.1174911455</v>
      </c>
      <c r="AG11" s="84">
        <f>$G11*'Base de dados'!$J$5/100</f>
        <v>0.5760000000000001</v>
      </c>
      <c r="AH11" s="83">
        <f>$H11*'Base de dados'!$G$6/100</f>
        <v>0.04301650328571429</v>
      </c>
      <c r="AI11" s="90">
        <f t="shared" si="8"/>
        <v>0.6190165032857143</v>
      </c>
      <c r="AJ11" s="101">
        <f>$G11*Maximos!$C$10/100</f>
        <v>1.0538880000000002</v>
      </c>
      <c r="AK11" s="102">
        <f>$H11*'Provillus 4PET'!$J$2/100</f>
        <v>0.07179312857142858</v>
      </c>
      <c r="AL11" s="111">
        <f t="shared" si="9"/>
        <v>1.1256811285714288</v>
      </c>
    </row>
    <row r="12" spans="3:38" ht="15">
      <c r="C12" s="49">
        <v>70</v>
      </c>
      <c r="D12" s="49">
        <v>30</v>
      </c>
      <c r="E12" s="44">
        <f>E9*0.7</f>
        <v>7</v>
      </c>
      <c r="F12" s="44">
        <f>E9*0.3</f>
        <v>3</v>
      </c>
      <c r="G12" s="47">
        <f>G9*0.7</f>
        <v>2.8</v>
      </c>
      <c r="H12" s="47">
        <f>G9*0.3</f>
        <v>1.2</v>
      </c>
      <c r="I12" s="154">
        <f>($E12*'Base de dados'!$D$2)/100</f>
        <v>3.1962368421052627</v>
      </c>
      <c r="J12" s="155">
        <f>($F12*'Base de dados'!$G$2)/100</f>
        <v>1.374989590789474</v>
      </c>
      <c r="K12" s="156">
        <f t="shared" si="0"/>
        <v>4.571226432894736</v>
      </c>
      <c r="L12" s="58">
        <f>($E12*'Base de dados'!$D$19/100)</f>
        <v>0.107226</v>
      </c>
      <c r="M12" s="60">
        <f>($F12*'Base de dados'!$G$19)/100</f>
        <v>0.052974286499999995</v>
      </c>
      <c r="N12" s="69">
        <f t="shared" si="1"/>
        <v>0.1602002865</v>
      </c>
      <c r="O12" s="73">
        <f>$E12*'Base de dados'!$D$5/100</f>
        <v>303.73</v>
      </c>
      <c r="P12" s="71">
        <f>$F12*'Base de dados'!$G$5/100</f>
        <v>144.483645</v>
      </c>
      <c r="Q12" s="81">
        <f t="shared" si="2"/>
        <v>448.21364500000004</v>
      </c>
      <c r="R12" s="101">
        <f>$E12*'Base de dados'!$D$12/100</f>
        <v>0.140868</v>
      </c>
      <c r="S12" s="102">
        <f>$F12*'Base de dados'!$G$12/100</f>
        <v>0.06338300699999999</v>
      </c>
      <c r="T12" s="103">
        <f t="shared" si="3"/>
        <v>0.20425100699999998</v>
      </c>
      <c r="U12" s="92">
        <f>$E12*'Base de dados'!$D$13/100</f>
        <v>0.00336</v>
      </c>
      <c r="V12" s="93">
        <f>$F12*'Base de dados'!$G$13/100</f>
        <v>0.009978465000000002</v>
      </c>
      <c r="W12" s="94">
        <f t="shared" si="4"/>
        <v>0.013338465000000002</v>
      </c>
      <c r="X12" s="84">
        <f>$E12*'Base de dados'!$D$20/100</f>
        <v>0.02772</v>
      </c>
      <c r="Y12" s="83">
        <f>$F12*'Base de dados'!$G$20/100</f>
        <v>0.015499530000000004</v>
      </c>
      <c r="Z12" s="90">
        <f t="shared" si="5"/>
        <v>0.043219530000000006</v>
      </c>
      <c r="AA12" s="101">
        <f>$E12*'Base de dados'!$D$3/100</f>
        <v>0.09799999999999999</v>
      </c>
      <c r="AB12" s="102">
        <f>$F12*'Base de dados'!$G$3/100</f>
        <v>0.125693625</v>
      </c>
      <c r="AC12" s="103">
        <f t="shared" si="6"/>
        <v>0.223693625</v>
      </c>
      <c r="AD12" s="115">
        <f>$E12*'Base de dados'!$D$16/100</f>
        <v>0.079863</v>
      </c>
      <c r="AE12" s="116">
        <f>$F12*'Base de dados'!$G$16/100</f>
        <v>0.039328718250000005</v>
      </c>
      <c r="AF12" s="140">
        <f t="shared" si="7"/>
        <v>0.11919171825000001</v>
      </c>
      <c r="AG12" s="84">
        <f>$G12*'Base de dados'!$J$5/100</f>
        <v>0.504</v>
      </c>
      <c r="AH12" s="83">
        <f>$H12*'Base de dados'!$G$6/100</f>
        <v>0.06452475492857142</v>
      </c>
      <c r="AI12" s="90">
        <f t="shared" si="8"/>
        <v>0.5685247549285715</v>
      </c>
      <c r="AJ12" s="101">
        <f>$G12*Maximos!$C$10/100</f>
        <v>0.9221520000000001</v>
      </c>
      <c r="AK12" s="102">
        <f>$H12*'Provillus 4PET'!$J$2/100</f>
        <v>0.10768969285714286</v>
      </c>
      <c r="AL12" s="111">
        <f t="shared" si="9"/>
        <v>1.029841692857143</v>
      </c>
    </row>
    <row r="13" spans="3:38" ht="15">
      <c r="C13" s="49">
        <v>60</v>
      </c>
      <c r="D13" s="49">
        <v>40</v>
      </c>
      <c r="E13" s="44">
        <f>E9*0.6</f>
        <v>6</v>
      </c>
      <c r="F13" s="44">
        <f>E9*0.4</f>
        <v>4</v>
      </c>
      <c r="G13" s="47">
        <f>G9*0.6</f>
        <v>2.4</v>
      </c>
      <c r="H13" s="47">
        <f>G9*0.4</f>
        <v>1.6</v>
      </c>
      <c r="I13" s="154">
        <f>($E13*'Base de dados'!$D$2)/100</f>
        <v>2.739631578947368</v>
      </c>
      <c r="J13" s="155">
        <f>($F13*'Base de dados'!$G$2)/100</f>
        <v>1.833319454385965</v>
      </c>
      <c r="K13" s="156">
        <f t="shared" si="0"/>
        <v>4.572951033333333</v>
      </c>
      <c r="L13" s="58">
        <f>($E13*'Base de dados'!$D$19/100)</f>
        <v>0.09190799999999999</v>
      </c>
      <c r="M13" s="60">
        <f>($F13*'Base de dados'!$G$19)/100</f>
        <v>0.070632382</v>
      </c>
      <c r="N13" s="69">
        <f t="shared" si="1"/>
        <v>0.16254038199999998</v>
      </c>
      <c r="O13" s="73">
        <f>$E13*'Base de dados'!$D$5/100</f>
        <v>260.34</v>
      </c>
      <c r="P13" s="71">
        <f>$F13*'Base de dados'!$G$5/100</f>
        <v>192.64486</v>
      </c>
      <c r="Q13" s="81">
        <f t="shared" si="2"/>
        <v>452.98485999999997</v>
      </c>
      <c r="R13" s="101">
        <f>$E13*'Base de dados'!$D$12/100</f>
        <v>0.120744</v>
      </c>
      <c r="S13" s="102">
        <f>$F13*'Base de dados'!$G$12/100</f>
        <v>0.084510676</v>
      </c>
      <c r="T13" s="103">
        <f t="shared" si="3"/>
        <v>0.20525467600000002</v>
      </c>
      <c r="U13" s="92">
        <f>$E13*'Base de dados'!$D$13/100</f>
        <v>0.00288</v>
      </c>
      <c r="V13" s="93">
        <f>$F13*'Base de dados'!$G$13/100</f>
        <v>0.013304620000000003</v>
      </c>
      <c r="W13" s="94">
        <f t="shared" si="4"/>
        <v>0.016184620000000004</v>
      </c>
      <c r="X13" s="84">
        <f>$E13*'Base de dados'!$D$20/100</f>
        <v>0.023760000000000003</v>
      </c>
      <c r="Y13" s="83">
        <f>$F13*'Base de dados'!$G$20/100</f>
        <v>0.020666040000000004</v>
      </c>
      <c r="Z13" s="90">
        <f t="shared" si="5"/>
        <v>0.04442604000000001</v>
      </c>
      <c r="AA13" s="101">
        <f>$E13*'Base de dados'!$D$3/100</f>
        <v>0.08399999999999999</v>
      </c>
      <c r="AB13" s="102">
        <f>$F13*'Base de dados'!$G$3/100</f>
        <v>0.1675915</v>
      </c>
      <c r="AC13" s="103">
        <f t="shared" si="6"/>
        <v>0.25159149999999997</v>
      </c>
      <c r="AD13" s="115">
        <f>$E13*'Base de dados'!$D$16/100</f>
        <v>0.068454</v>
      </c>
      <c r="AE13" s="116">
        <f>$F13*'Base de dados'!$G$16/100</f>
        <v>0.052438291</v>
      </c>
      <c r="AF13" s="140">
        <f t="shared" si="7"/>
        <v>0.120892291</v>
      </c>
      <c r="AG13" s="84">
        <f>$G13*'Base de dados'!$J$5/100</f>
        <v>0.43199999999999994</v>
      </c>
      <c r="AH13" s="83">
        <f>$H13*'Base de dados'!$G$6/100</f>
        <v>0.08603300657142858</v>
      </c>
      <c r="AI13" s="90">
        <f t="shared" si="8"/>
        <v>0.5180330065714285</v>
      </c>
      <c r="AJ13" s="101">
        <f>$G13*Maximos!$C$10/100</f>
        <v>0.790416</v>
      </c>
      <c r="AK13" s="102">
        <f>$H13*'Provillus 4PET'!$J$2/100</f>
        <v>0.14358625714285717</v>
      </c>
      <c r="AL13" s="111">
        <f t="shared" si="9"/>
        <v>0.9340022571428572</v>
      </c>
    </row>
    <row r="14" spans="3:38" ht="15">
      <c r="C14" s="49">
        <v>50</v>
      </c>
      <c r="D14" s="49">
        <v>50</v>
      </c>
      <c r="E14" s="44">
        <f>E9*0.5</f>
        <v>5</v>
      </c>
      <c r="F14" s="44">
        <f>E9*0.5</f>
        <v>5</v>
      </c>
      <c r="G14" s="47">
        <f>G9*0.5</f>
        <v>2</v>
      </c>
      <c r="H14" s="47">
        <f>G9*0.5</f>
        <v>2</v>
      </c>
      <c r="I14" s="154">
        <f>($E14*'Base de dados'!$D$2)/100</f>
        <v>2.2830263157894732</v>
      </c>
      <c r="J14" s="155">
        <f>($F14*'Base de dados'!$G$2)/100</f>
        <v>2.291649317982456</v>
      </c>
      <c r="K14" s="156">
        <f t="shared" si="0"/>
        <v>4.574675633771929</v>
      </c>
      <c r="L14" s="58">
        <f>($E14*'Base de dados'!$D$19/100)</f>
        <v>0.07659</v>
      </c>
      <c r="M14" s="60">
        <f>($F14*'Base de dados'!$G$19)/100</f>
        <v>0.08829047749999999</v>
      </c>
      <c r="N14" s="69">
        <f t="shared" si="1"/>
        <v>0.1648804775</v>
      </c>
      <c r="O14" s="73">
        <f>$E14*'Base de dados'!$D$5/100</f>
        <v>216.95</v>
      </c>
      <c r="P14" s="71">
        <f>$F14*'Base de dados'!$G$5/100</f>
        <v>240.80607500000002</v>
      </c>
      <c r="Q14" s="81">
        <f t="shared" si="2"/>
        <v>457.756075</v>
      </c>
      <c r="R14" s="101">
        <f>$E14*'Base de dados'!$D$12/100</f>
        <v>0.10061999999999999</v>
      </c>
      <c r="S14" s="102">
        <f>$F14*'Base de dados'!$G$12/100</f>
        <v>0.10563834500000001</v>
      </c>
      <c r="T14" s="103">
        <f t="shared" si="3"/>
        <v>0.206258345</v>
      </c>
      <c r="U14" s="92">
        <f>$E14*'Base de dados'!$D$13/100</f>
        <v>0.0024</v>
      </c>
      <c r="V14" s="93">
        <f>$F14*'Base de dados'!$G$13/100</f>
        <v>0.016630775000000004</v>
      </c>
      <c r="W14" s="94">
        <f t="shared" si="4"/>
        <v>0.019030775000000003</v>
      </c>
      <c r="X14" s="84">
        <f>$E14*'Base de dados'!$D$20/100</f>
        <v>0.019799999999999998</v>
      </c>
      <c r="Y14" s="83">
        <f>$F14*'Base de dados'!$G$20/100</f>
        <v>0.025832550000000003</v>
      </c>
      <c r="Z14" s="90">
        <f t="shared" si="5"/>
        <v>0.04563255</v>
      </c>
      <c r="AA14" s="101">
        <f>$E14*'Base de dados'!$D$3/100</f>
        <v>0.07</v>
      </c>
      <c r="AB14" s="102">
        <f>$F14*'Base de dados'!$G$3/100</f>
        <v>0.20948937500000003</v>
      </c>
      <c r="AC14" s="103">
        <f t="shared" si="6"/>
        <v>0.27948937500000004</v>
      </c>
      <c r="AD14" s="115">
        <f>$E14*'Base de dados'!$D$16/100</f>
        <v>0.057045000000000005</v>
      </c>
      <c r="AE14" s="116">
        <f>$F14*'Base de dados'!$G$16/100</f>
        <v>0.06554786375</v>
      </c>
      <c r="AF14" s="140">
        <f t="shared" si="7"/>
        <v>0.12259286375</v>
      </c>
      <c r="AG14" s="84">
        <f>$G14*'Base de dados'!$J$5/100</f>
        <v>0.36</v>
      </c>
      <c r="AH14" s="83">
        <f>$H14*'Base de dados'!$G$6/100</f>
        <v>0.10754125821428571</v>
      </c>
      <c r="AI14" s="90">
        <f t="shared" si="8"/>
        <v>0.4675412582142857</v>
      </c>
      <c r="AJ14" s="101">
        <f>$G14*Maximos!$C$10/100</f>
        <v>0.65868</v>
      </c>
      <c r="AK14" s="102">
        <f>$H14*'Provillus 4PET'!$J$2/100</f>
        <v>0.17948282142857144</v>
      </c>
      <c r="AL14" s="111">
        <f t="shared" si="9"/>
        <v>0.8381628214285715</v>
      </c>
    </row>
    <row r="15" spans="3:38" ht="15">
      <c r="C15" s="49">
        <v>40</v>
      </c>
      <c r="D15" s="49">
        <v>60</v>
      </c>
      <c r="E15" s="44">
        <f>E9*0.4</f>
        <v>4</v>
      </c>
      <c r="F15" s="44">
        <f>E9*0.6</f>
        <v>6</v>
      </c>
      <c r="G15" s="47">
        <f>G9*0.4</f>
        <v>1.6</v>
      </c>
      <c r="H15" s="47">
        <f>G9*0.6</f>
        <v>2.4</v>
      </c>
      <c r="I15" s="154">
        <f>($E15*'Base de dados'!$D$2)/100</f>
        <v>1.8264210526315787</v>
      </c>
      <c r="J15" s="155">
        <f>($F15*'Base de dados'!$G$2)/100</f>
        <v>2.749979181578948</v>
      </c>
      <c r="K15" s="156">
        <f t="shared" si="0"/>
        <v>4.576400234210527</v>
      </c>
      <c r="L15" s="58">
        <f>($E15*'Base de dados'!$D$19/100)</f>
        <v>0.061272</v>
      </c>
      <c r="M15" s="60">
        <f>($F15*'Base de dados'!$G$19)/100</f>
        <v>0.10594857299999999</v>
      </c>
      <c r="N15" s="69">
        <f t="shared" si="1"/>
        <v>0.16722057299999998</v>
      </c>
      <c r="O15" s="73">
        <f>$E15*'Base de dados'!$D$5/100</f>
        <v>173.56</v>
      </c>
      <c r="P15" s="71">
        <f>$F15*'Base de dados'!$G$5/100</f>
        <v>288.96729</v>
      </c>
      <c r="Q15" s="81">
        <f t="shared" si="2"/>
        <v>462.52729</v>
      </c>
      <c r="R15" s="101">
        <f>$E15*'Base de dados'!$D$12/100</f>
        <v>0.080496</v>
      </c>
      <c r="S15" s="102">
        <f>$F15*'Base de dados'!$G$12/100</f>
        <v>0.12676601399999998</v>
      </c>
      <c r="T15" s="103">
        <f t="shared" si="3"/>
        <v>0.207262014</v>
      </c>
      <c r="U15" s="92">
        <f>$E15*'Base de dados'!$D$13/100</f>
        <v>0.00192</v>
      </c>
      <c r="V15" s="93">
        <f>$F15*'Base de dados'!$G$13/100</f>
        <v>0.019956930000000005</v>
      </c>
      <c r="W15" s="94">
        <f t="shared" si="4"/>
        <v>0.021876930000000006</v>
      </c>
      <c r="X15" s="84">
        <f>$E15*'Base de dados'!$D$20/100</f>
        <v>0.01584</v>
      </c>
      <c r="Y15" s="83">
        <f>$F15*'Base de dados'!$G$20/100</f>
        <v>0.03099906000000001</v>
      </c>
      <c r="Z15" s="90">
        <f t="shared" si="5"/>
        <v>0.04683906000000001</v>
      </c>
      <c r="AA15" s="101">
        <f>$E15*'Base de dados'!$D$3/100</f>
        <v>0.055999999999999994</v>
      </c>
      <c r="AB15" s="102">
        <f>$F15*'Base de dados'!$G$3/100</f>
        <v>0.25138725</v>
      </c>
      <c r="AC15" s="103">
        <f t="shared" si="6"/>
        <v>0.30738725</v>
      </c>
      <c r="AD15" s="115">
        <f>$E15*'Base de dados'!$D$16/100</f>
        <v>0.045636</v>
      </c>
      <c r="AE15" s="116">
        <f>$F15*'Base de dados'!$G$16/100</f>
        <v>0.07865743650000001</v>
      </c>
      <c r="AF15" s="140">
        <f t="shared" si="7"/>
        <v>0.12429343650000002</v>
      </c>
      <c r="AG15" s="84">
        <f>$G15*'Base de dados'!$J$5/100</f>
        <v>0.28800000000000003</v>
      </c>
      <c r="AH15" s="83">
        <f>$H15*'Base de dados'!$G$6/100</f>
        <v>0.12904950985714284</v>
      </c>
      <c r="AI15" s="90">
        <f t="shared" si="8"/>
        <v>0.41704950985714284</v>
      </c>
      <c r="AJ15" s="101">
        <f>$G15*Maximos!$C$10/100</f>
        <v>0.5269440000000001</v>
      </c>
      <c r="AK15" s="102">
        <f>$H15*'Provillus 4PET'!$J$2/100</f>
        <v>0.21537938571428572</v>
      </c>
      <c r="AL15" s="111">
        <f t="shared" si="9"/>
        <v>0.7423233857142858</v>
      </c>
    </row>
    <row r="16" spans="3:38" ht="15">
      <c r="C16" s="49">
        <v>30</v>
      </c>
      <c r="D16" s="49">
        <v>70</v>
      </c>
      <c r="E16" s="44">
        <f>E9*0.3</f>
        <v>3</v>
      </c>
      <c r="F16" s="44">
        <f>E9*0.7</f>
        <v>7</v>
      </c>
      <c r="G16" s="47">
        <f>G9*0.3</f>
        <v>1.2</v>
      </c>
      <c r="H16" s="47">
        <f>G9*0.7</f>
        <v>2.8</v>
      </c>
      <c r="I16" s="154">
        <f>($E16*'Base de dados'!$D$2)/100</f>
        <v>1.369815789473684</v>
      </c>
      <c r="J16" s="155">
        <f>($F16*'Base de dados'!$G$2)/100</f>
        <v>3.208309045175439</v>
      </c>
      <c r="K16" s="156">
        <f t="shared" si="0"/>
        <v>4.578124834649123</v>
      </c>
      <c r="L16" s="58">
        <f>($E16*'Base de dados'!$D$19/100)</f>
        <v>0.045953999999999995</v>
      </c>
      <c r="M16" s="60">
        <f>($F16*'Base de dados'!$G$19)/100</f>
        <v>0.12360666849999999</v>
      </c>
      <c r="N16" s="69">
        <f t="shared" si="1"/>
        <v>0.16956066849999998</v>
      </c>
      <c r="O16" s="73">
        <f>$E16*'Base de dados'!$D$5/100</f>
        <v>130.17</v>
      </c>
      <c r="P16" s="71">
        <f>$F16*'Base de dados'!$G$5/100</f>
        <v>337.128505</v>
      </c>
      <c r="Q16" s="81">
        <f t="shared" si="2"/>
        <v>467.298505</v>
      </c>
      <c r="R16" s="101">
        <f>$E16*'Base de dados'!$D$12/100</f>
        <v>0.060372</v>
      </c>
      <c r="S16" s="102">
        <f>$F16*'Base de dados'!$G$12/100</f>
        <v>0.147893683</v>
      </c>
      <c r="T16" s="103">
        <f t="shared" si="3"/>
        <v>0.208265683</v>
      </c>
      <c r="U16" s="92">
        <f>$E16*'Base de dados'!$D$13/100</f>
        <v>0.00144</v>
      </c>
      <c r="V16" s="93">
        <f>$F16*'Base de dados'!$G$13/100</f>
        <v>0.023283085000000002</v>
      </c>
      <c r="W16" s="94">
        <f t="shared" si="4"/>
        <v>0.024723085000000002</v>
      </c>
      <c r="X16" s="84">
        <f>$E16*'Base de dados'!$D$20/100</f>
        <v>0.011880000000000002</v>
      </c>
      <c r="Y16" s="83">
        <f>$F16*'Base de dados'!$G$20/100</f>
        <v>0.03616557000000001</v>
      </c>
      <c r="Z16" s="90">
        <f t="shared" si="5"/>
        <v>0.04804557000000001</v>
      </c>
      <c r="AA16" s="101">
        <f>$E16*'Base de dados'!$D$3/100</f>
        <v>0.041999999999999996</v>
      </c>
      <c r="AB16" s="102">
        <f>$F16*'Base de dados'!$G$3/100</f>
        <v>0.29328512500000004</v>
      </c>
      <c r="AC16" s="103">
        <f t="shared" si="6"/>
        <v>0.335285125</v>
      </c>
      <c r="AD16" s="115">
        <f>$E16*'Base de dados'!$D$16/100</f>
        <v>0.034227</v>
      </c>
      <c r="AE16" s="116">
        <f>$F16*'Base de dados'!$G$16/100</f>
        <v>0.09176700925</v>
      </c>
      <c r="AF16" s="140">
        <f t="shared" si="7"/>
        <v>0.12599400925</v>
      </c>
      <c r="AG16" s="84">
        <f>$G16*'Base de dados'!$J$5/100</f>
        <v>0.21599999999999997</v>
      </c>
      <c r="AH16" s="83">
        <f>$H16*'Base de dados'!$G$6/100</f>
        <v>0.1505577615</v>
      </c>
      <c r="AI16" s="90">
        <f t="shared" si="8"/>
        <v>0.36655776149999997</v>
      </c>
      <c r="AJ16" s="101">
        <f>$G16*Maximos!$C$10/100</f>
        <v>0.395208</v>
      </c>
      <c r="AK16" s="102">
        <f>$H16*'Provillus 4PET'!$J$2/100</f>
        <v>0.25127595</v>
      </c>
      <c r="AL16" s="111">
        <f t="shared" si="9"/>
        <v>0.64648395</v>
      </c>
    </row>
    <row r="17" spans="3:38" ht="16.5">
      <c r="C17" s="49">
        <v>20</v>
      </c>
      <c r="D17" s="49">
        <v>80</v>
      </c>
      <c r="E17" s="44">
        <f>E9*0.2</f>
        <v>2</v>
      </c>
      <c r="F17" s="44">
        <f>E9*0.8</f>
        <v>8</v>
      </c>
      <c r="G17" s="47">
        <f>G9*0.2</f>
        <v>0.8</v>
      </c>
      <c r="H17" s="47">
        <f>G9*0.8</f>
        <v>3.2</v>
      </c>
      <c r="I17" s="154">
        <f>($E17*'Base de dados'!$D$2)/100</f>
        <v>0.9132105263157894</v>
      </c>
      <c r="J17" s="155">
        <f>($F17*'Base de dados'!$G$2)/100</f>
        <v>3.66663890877193</v>
      </c>
      <c r="K17" s="156">
        <f t="shared" si="0"/>
        <v>4.579849435087719</v>
      </c>
      <c r="L17" s="58">
        <f>($E17*'Base de dados'!$D$19/100)</f>
        <v>0.030636</v>
      </c>
      <c r="M17" s="60">
        <f>($F17*'Base de dados'!$G$19)/100</f>
        <v>0.141264764</v>
      </c>
      <c r="N17" s="69">
        <f t="shared" si="1"/>
        <v>0.17190076399999998</v>
      </c>
      <c r="O17" s="73">
        <f>$E17*'Base de dados'!$D$5/100</f>
        <v>86.78</v>
      </c>
      <c r="P17" s="71">
        <f>$F17*'Base de dados'!$G$5/100</f>
        <v>385.28972</v>
      </c>
      <c r="Q17" s="81">
        <f t="shared" si="2"/>
        <v>472.06971999999996</v>
      </c>
      <c r="R17" s="101">
        <f>$E17*'Base de dados'!$D$12/100</f>
        <v>0.040248</v>
      </c>
      <c r="S17" s="102">
        <f>$F17*'Base de dados'!$G$12/100</f>
        <v>0.169021352</v>
      </c>
      <c r="T17" s="103">
        <f t="shared" si="3"/>
        <v>0.20926935200000002</v>
      </c>
      <c r="U17" s="92">
        <f>$E17*'Base de dados'!$D$13/100</f>
        <v>0.00096</v>
      </c>
      <c r="V17" s="93">
        <f>$F17*'Base de dados'!$G$13/100</f>
        <v>0.026609240000000006</v>
      </c>
      <c r="W17" s="94">
        <f t="shared" si="4"/>
        <v>0.027569240000000005</v>
      </c>
      <c r="X17" s="84">
        <f>$E17*'Base de dados'!$D$20/100</f>
        <v>0.00792</v>
      </c>
      <c r="Y17" s="83">
        <f>$F17*'Base de dados'!$G$20/100</f>
        <v>0.04133208000000001</v>
      </c>
      <c r="Z17" s="90">
        <f t="shared" si="5"/>
        <v>0.049252080000000004</v>
      </c>
      <c r="AA17" s="101">
        <f>$E17*'Base de dados'!$D$3/100</f>
        <v>0.027999999999999997</v>
      </c>
      <c r="AB17" s="102">
        <f>$F17*'Base de dados'!$G$3/100</f>
        <v>0.335183</v>
      </c>
      <c r="AC17" s="103">
        <f t="shared" si="6"/>
        <v>0.36318300000000003</v>
      </c>
      <c r="AD17" s="115">
        <f>$E17*'Base de dados'!$D$16/100</f>
        <v>0.022818</v>
      </c>
      <c r="AE17" s="116">
        <f>$F17*'Base de dados'!$G$16/100</f>
        <v>0.104876582</v>
      </c>
      <c r="AF17" s="140">
        <f t="shared" si="7"/>
        <v>0.127694582</v>
      </c>
      <c r="AG17" s="84">
        <f>$G17*'Base de dados'!$J$5/100</f>
        <v>0.14400000000000002</v>
      </c>
      <c r="AH17" s="83">
        <f>$H17*'Base de dados'!$G$6/100</f>
        <v>0.17206601314285716</v>
      </c>
      <c r="AI17" s="90">
        <f t="shared" si="8"/>
        <v>0.3160660131428572</v>
      </c>
      <c r="AJ17" s="101">
        <f>$G17*Maximos!$C$10/100</f>
        <v>0.26347200000000004</v>
      </c>
      <c r="AK17" s="102">
        <f>$H17*'Provillus 4PET'!$J$2/100</f>
        <v>0.28717251428571433</v>
      </c>
      <c r="AL17" s="111">
        <f t="shared" si="9"/>
        <v>0.5506445142857144</v>
      </c>
    </row>
    <row r="18" spans="3:38" ht="16.5">
      <c r="C18" s="49">
        <v>10</v>
      </c>
      <c r="D18" s="49">
        <v>90</v>
      </c>
      <c r="E18" s="44">
        <f>E9*0.1</f>
        <v>1</v>
      </c>
      <c r="F18" s="44">
        <f>E9*0.9</f>
        <v>9</v>
      </c>
      <c r="G18" s="47">
        <f>G9*0.1</f>
        <v>0.4</v>
      </c>
      <c r="H18" s="47">
        <f>G9*0.9</f>
        <v>3.6</v>
      </c>
      <c r="I18" s="154">
        <f>($E18*'Base de dados'!$D$2)/100</f>
        <v>0.4566052631578947</v>
      </c>
      <c r="J18" s="155">
        <f>($F18*'Base de dados'!$G$2)/100</f>
        <v>4.124968772368422</v>
      </c>
      <c r="K18" s="156">
        <f t="shared" si="0"/>
        <v>4.581574035526316</v>
      </c>
      <c r="L18" s="58">
        <f>($E18*'Base de dados'!$D$19/100)</f>
        <v>0.015318</v>
      </c>
      <c r="M18" s="60">
        <f>($F18*'Base de dados'!$G$19)/100</f>
        <v>0.15892285949999999</v>
      </c>
      <c r="N18" s="69">
        <f t="shared" si="1"/>
        <v>0.17424085949999998</v>
      </c>
      <c r="O18" s="73">
        <f>$E18*'Base de dados'!$D$5/100</f>
        <v>43.39</v>
      </c>
      <c r="P18" s="71">
        <f>$F18*'Base de dados'!$G$5/100</f>
        <v>433.450935</v>
      </c>
      <c r="Q18" s="81">
        <f t="shared" si="2"/>
        <v>476.840935</v>
      </c>
      <c r="R18" s="101">
        <f>$E18*'Base de dados'!$D$12/100</f>
        <v>0.020124</v>
      </c>
      <c r="S18" s="102">
        <f>$F18*'Base de dados'!$G$12/100</f>
        <v>0.190149021</v>
      </c>
      <c r="T18" s="103">
        <f t="shared" si="3"/>
        <v>0.210273021</v>
      </c>
      <c r="U18" s="92">
        <f>$E18*'Base de dados'!$D$13/100</f>
        <v>0.00048</v>
      </c>
      <c r="V18" s="93">
        <f>$F18*'Base de dados'!$G$13/100</f>
        <v>0.029935395000000007</v>
      </c>
      <c r="W18" s="94">
        <f t="shared" si="4"/>
        <v>0.030415395000000008</v>
      </c>
      <c r="X18" s="84">
        <f>$E18*'Base de dados'!$D$20/100</f>
        <v>0.00396</v>
      </c>
      <c r="Y18" s="83">
        <f>$F18*'Base de dados'!$G$20/100</f>
        <v>0.04649859000000001</v>
      </c>
      <c r="Z18" s="90">
        <f t="shared" si="5"/>
        <v>0.05045859000000001</v>
      </c>
      <c r="AA18" s="101">
        <f>$E18*'Base de dados'!$D$3/100</f>
        <v>0.013999999999999999</v>
      </c>
      <c r="AB18" s="102">
        <f>$F18*'Base de dados'!$G$3/100</f>
        <v>0.37708087500000004</v>
      </c>
      <c r="AC18" s="103">
        <f t="shared" si="6"/>
        <v>0.39108087500000005</v>
      </c>
      <c r="AD18" s="115">
        <f>$E18*'Base de dados'!$D$16/100</f>
        <v>0.011409</v>
      </c>
      <c r="AE18" s="116">
        <f>$F18*'Base de dados'!$G$16/100</f>
        <v>0.11798615475</v>
      </c>
      <c r="AF18" s="140">
        <f t="shared" si="7"/>
        <v>0.12939515475</v>
      </c>
      <c r="AG18" s="84">
        <f>$G18*'Base de dados'!$J$5/100</f>
        <v>0.07200000000000001</v>
      </c>
      <c r="AH18" s="83">
        <f>$H18*'Base de dados'!$G$6/100</f>
        <v>0.1935742647857143</v>
      </c>
      <c r="AI18" s="90">
        <f t="shared" si="8"/>
        <v>0.26557426478571433</v>
      </c>
      <c r="AJ18" s="101">
        <f>$G18*Maximos!$C$10/100</f>
        <v>0.13173600000000002</v>
      </c>
      <c r="AK18" s="102">
        <f>$H18*'Provillus 4PET'!$J$2/100</f>
        <v>0.3230690785714286</v>
      </c>
      <c r="AL18" s="111">
        <f t="shared" si="9"/>
        <v>0.4548050785714286</v>
      </c>
    </row>
    <row r="19" spans="3:38" ht="17.25" thickBot="1">
      <c r="C19" s="50">
        <v>0</v>
      </c>
      <c r="D19" s="50">
        <v>100</v>
      </c>
      <c r="E19" s="45">
        <f>E9*C19</f>
        <v>0</v>
      </c>
      <c r="F19" s="45">
        <f>E9</f>
        <v>10</v>
      </c>
      <c r="G19" s="48">
        <f>G9*E19</f>
        <v>0</v>
      </c>
      <c r="H19" s="48">
        <f>G9</f>
        <v>4</v>
      </c>
      <c r="I19" s="157">
        <f>($E19*'Base de dados'!$D$2)/100</f>
        <v>0</v>
      </c>
      <c r="J19" s="158">
        <f>($F19*'Base de dados'!$G$2)/100</f>
        <v>4.583298635964912</v>
      </c>
      <c r="K19" s="159">
        <f t="shared" si="0"/>
        <v>4.583298635964912</v>
      </c>
      <c r="L19" s="59">
        <f>($E19*'Base de dados'!$D$19/100)</f>
        <v>0</v>
      </c>
      <c r="M19" s="61">
        <f>($F19*'Base de dados'!$G$19)/100</f>
        <v>0.17658095499999998</v>
      </c>
      <c r="N19" s="70">
        <f t="shared" si="1"/>
        <v>0.17658095499999998</v>
      </c>
      <c r="O19" s="74">
        <f>$E19*'Base de dados'!$D$5/100</f>
        <v>0</v>
      </c>
      <c r="P19" s="75">
        <f>$F19*'Base de dados'!$G$5/100</f>
        <v>481.61215000000004</v>
      </c>
      <c r="Q19" s="82">
        <f t="shared" si="2"/>
        <v>481.61215000000004</v>
      </c>
      <c r="R19" s="104">
        <f>$E19*'Base de dados'!$D$12/100</f>
        <v>0</v>
      </c>
      <c r="S19" s="105">
        <f>$F19*'Base de dados'!$G$12/100</f>
        <v>0.21127669000000002</v>
      </c>
      <c r="T19" s="106">
        <f t="shared" si="3"/>
        <v>0.21127669000000002</v>
      </c>
      <c r="U19" s="95">
        <f>$E19*'Base de dados'!$D$13/100</f>
        <v>0</v>
      </c>
      <c r="V19" s="96">
        <f>$F19*'Base de dados'!$G$13/100</f>
        <v>0.03326155000000001</v>
      </c>
      <c r="W19" s="97">
        <f t="shared" si="4"/>
        <v>0.03326155000000001</v>
      </c>
      <c r="X19" s="130">
        <f>$E19*'Base de dados'!$D$20/100</f>
        <v>0</v>
      </c>
      <c r="Y19" s="127">
        <f>$F19*'Base de dados'!$G$20/100</f>
        <v>0.051665100000000005</v>
      </c>
      <c r="Z19" s="131">
        <f>X19+Y19</f>
        <v>0.051665100000000005</v>
      </c>
      <c r="AA19" s="101">
        <f>$E19*'Base de dados'!$D$3/100</f>
        <v>0</v>
      </c>
      <c r="AB19" s="102">
        <f>$F19*'Base de dados'!$G$3/100</f>
        <v>0.41897875000000007</v>
      </c>
      <c r="AC19" s="103">
        <f t="shared" si="6"/>
        <v>0.41897875000000007</v>
      </c>
      <c r="AD19" s="117">
        <f>$E19*'Base de dados'!$D$16/100</f>
        <v>0</v>
      </c>
      <c r="AE19" s="118">
        <f>$F19*'Base de dados'!$G$16/100</f>
        <v>0.1310957275</v>
      </c>
      <c r="AF19" s="141">
        <f t="shared" si="7"/>
        <v>0.1310957275</v>
      </c>
      <c r="AG19" s="85">
        <f>$G19*'Base de dados'!$J$5/100</f>
        <v>0</v>
      </c>
      <c r="AH19" s="86">
        <f>$H19*'Base de dados'!$G$6/100</f>
        <v>0.21508251642857143</v>
      </c>
      <c r="AI19" s="91">
        <f t="shared" si="8"/>
        <v>0.21508251642857143</v>
      </c>
      <c r="AJ19" s="104">
        <f>$G19*Maximos!$C$10/100</f>
        <v>0</v>
      </c>
      <c r="AK19" s="105">
        <f>$H19*'Provillus 4PET'!$J$2/100</f>
        <v>0.3589656428571429</v>
      </c>
      <c r="AL19" s="112">
        <f t="shared" si="9"/>
        <v>0.3589656428571429</v>
      </c>
    </row>
    <row r="20" spans="3:38" ht="16.5" customHeight="1">
      <c r="C20" s="31"/>
      <c r="D20" s="31"/>
      <c r="E20" s="31"/>
      <c r="F20" s="31"/>
      <c r="G20" s="31"/>
      <c r="H20" s="31"/>
      <c r="I20" s="212" t="s">
        <v>110</v>
      </c>
      <c r="J20" s="213"/>
      <c r="K20" s="214"/>
      <c r="L20" s="204" t="s">
        <v>109</v>
      </c>
      <c r="M20" s="205"/>
      <c r="N20" s="121">
        <f>(($N$19*100)/$L$9)-100</f>
        <v>15.276769160464795</v>
      </c>
      <c r="O20" s="218" t="s">
        <v>90</v>
      </c>
      <c r="P20" s="219"/>
      <c r="Q20" s="121">
        <f>($Q$19*100/$O$9)-100</f>
        <v>10.996116616731982</v>
      </c>
      <c r="R20" s="196" t="s">
        <v>90</v>
      </c>
      <c r="S20" s="197"/>
      <c r="T20" s="124">
        <f>(($T$19*100)/$R$9)-100</f>
        <v>4.987422977539268</v>
      </c>
      <c r="U20" s="200" t="s">
        <v>93</v>
      </c>
      <c r="V20" s="201"/>
      <c r="W20" s="128">
        <f>((W19*100)/U9)-100</f>
        <v>592.9489583333336</v>
      </c>
      <c r="X20" s="204" t="s">
        <v>93</v>
      </c>
      <c r="Y20" s="205"/>
      <c r="Z20" s="132">
        <f>(($Z$19*100)/$X$9)-100</f>
        <v>30.467424242424272</v>
      </c>
      <c r="AA20" s="208" t="s">
        <v>93</v>
      </c>
      <c r="AB20" s="209"/>
      <c r="AC20" s="107">
        <f>(($AC$19*100)/$AA$9)-100</f>
        <v>199.27053571428576</v>
      </c>
      <c r="AD20" s="180" t="s">
        <v>93</v>
      </c>
      <c r="AE20" s="181"/>
      <c r="AF20" s="134">
        <f>((AF19*100)/AD9)-100</f>
        <v>14.905537295117895</v>
      </c>
      <c r="AG20" s="169" t="s">
        <v>99</v>
      </c>
      <c r="AH20" s="170"/>
      <c r="AI20" s="147">
        <f>AI19</f>
        <v>0.21508251642857143</v>
      </c>
      <c r="AJ20" s="173" t="s">
        <v>99</v>
      </c>
      <c r="AK20" s="174"/>
      <c r="AL20" s="144">
        <f>AL19</f>
        <v>0.3589656428571429</v>
      </c>
    </row>
    <row r="21" spans="3:38" ht="47.25" customHeight="1" thickBot="1">
      <c r="C21" s="31"/>
      <c r="D21" s="31"/>
      <c r="E21" s="31"/>
      <c r="F21" s="31"/>
      <c r="G21" s="31"/>
      <c r="H21" s="31"/>
      <c r="I21" s="215"/>
      <c r="J21" s="216"/>
      <c r="K21" s="217"/>
      <c r="L21" s="206"/>
      <c r="M21" s="207"/>
      <c r="N21" s="122" t="s">
        <v>88</v>
      </c>
      <c r="O21" s="220"/>
      <c r="P21" s="221"/>
      <c r="Q21" s="123" t="s">
        <v>89</v>
      </c>
      <c r="R21" s="198"/>
      <c r="S21" s="199"/>
      <c r="T21" s="125" t="s">
        <v>91</v>
      </c>
      <c r="U21" s="202"/>
      <c r="V21" s="203"/>
      <c r="W21" s="129" t="s">
        <v>92</v>
      </c>
      <c r="X21" s="206"/>
      <c r="Y21" s="207"/>
      <c r="Z21" s="133" t="s">
        <v>94</v>
      </c>
      <c r="AA21" s="210"/>
      <c r="AB21" s="211"/>
      <c r="AC21" s="135" t="s">
        <v>95</v>
      </c>
      <c r="AD21" s="182"/>
      <c r="AE21" s="183"/>
      <c r="AF21" s="138" t="s">
        <v>96</v>
      </c>
      <c r="AG21" s="171"/>
      <c r="AH21" s="172"/>
      <c r="AI21" s="148" t="s">
        <v>98</v>
      </c>
      <c r="AJ21" s="175"/>
      <c r="AK21" s="176"/>
      <c r="AL21" s="149" t="s">
        <v>100</v>
      </c>
    </row>
    <row r="22" spans="3:19" ht="16.5">
      <c r="C22" s="30"/>
      <c r="D22" s="30"/>
      <c r="E22" s="30"/>
      <c r="F22" s="30"/>
      <c r="G22" s="30"/>
      <c r="H22" s="30"/>
      <c r="I22" s="30"/>
      <c r="J22" s="30"/>
      <c r="K22" s="30"/>
      <c r="L22" s="35"/>
      <c r="M22" s="35"/>
      <c r="N22" s="30"/>
      <c r="O22" s="31"/>
      <c r="P22" s="31"/>
      <c r="Q22" s="31"/>
      <c r="R22" s="32"/>
      <c r="S22" s="30"/>
    </row>
    <row r="23" spans="15:17" ht="16.5">
      <c r="O23" s="79"/>
      <c r="P23" s="79"/>
      <c r="Q23" s="79"/>
    </row>
    <row r="24" ht="16.5"/>
    <row r="25" ht="16.5"/>
    <row r="26" ht="16.5"/>
    <row r="27" ht="16.5"/>
    <row r="28" ht="16.5"/>
    <row r="29" ht="16.5"/>
    <row r="30" ht="16.5"/>
  </sheetData>
  <mergeCells count="23">
    <mergeCell ref="R20:S21"/>
    <mergeCell ref="U20:V21"/>
    <mergeCell ref="G7:H7"/>
    <mergeCell ref="X20:Y21"/>
    <mergeCell ref="AA20:AB21"/>
    <mergeCell ref="I20:K21"/>
    <mergeCell ref="L20:M21"/>
    <mergeCell ref="O20:P21"/>
    <mergeCell ref="X7:Z7"/>
    <mergeCell ref="AA7:AC7"/>
    <mergeCell ref="R7:T7"/>
    <mergeCell ref="U7:W7"/>
    <mergeCell ref="C7:D7"/>
    <mergeCell ref="E7:F7"/>
    <mergeCell ref="I7:K7"/>
    <mergeCell ref="L7:N7"/>
    <mergeCell ref="O7:Q7"/>
    <mergeCell ref="AG7:AI7"/>
    <mergeCell ref="AJ7:AL7"/>
    <mergeCell ref="AG20:AH21"/>
    <mergeCell ref="AJ20:AK21"/>
    <mergeCell ref="AD7:AF7"/>
    <mergeCell ref="AD20:AE21"/>
  </mergeCells>
  <printOptions/>
  <pageMargins left="0.511811024" right="0.511811024" top="0.787401575" bottom="0.787401575" header="0.31496062" footer="0.31496062"/>
  <pageSetup horizontalDpi="360" verticalDpi="360" orientation="portrait" paperSize="9" r:id="rId2"/>
  <ignoredErrors>
    <ignoredError sqref="F10:F19 G10:G19" formula="1"/>
    <ignoredError sqref="AI20 AL20" unlocked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1"/>
  <sheetViews>
    <sheetView workbookViewId="0" topLeftCell="A1">
      <selection activeCell="W2" sqref="W2"/>
    </sheetView>
  </sheetViews>
  <sheetFormatPr defaultColWidth="9.140625" defaultRowHeight="15"/>
  <cols>
    <col min="1" max="1" width="18.140625" style="1" bestFit="1" customWidth="1"/>
    <col min="2" max="4" width="9.140625" style="1" customWidth="1"/>
    <col min="5" max="5" width="18.140625" style="1" bestFit="1" customWidth="1"/>
    <col min="6" max="7" width="9.140625" style="1" customWidth="1"/>
    <col min="8" max="8" width="18.140625" style="1" bestFit="1" customWidth="1"/>
    <col min="9" max="10" width="9.140625" style="1" customWidth="1"/>
    <col min="11" max="11" width="18.140625" style="1" bestFit="1" customWidth="1"/>
    <col min="12" max="13" width="9.140625" style="1" customWidth="1"/>
    <col min="14" max="14" width="18.140625" style="1" bestFit="1" customWidth="1"/>
    <col min="15" max="15" width="9.140625" style="1" customWidth="1"/>
    <col min="16" max="16" width="13.7109375" style="1" bestFit="1" customWidth="1"/>
    <col min="17" max="17" width="9.140625" style="1" customWidth="1"/>
    <col min="18" max="19" width="12.7109375" style="1" bestFit="1" customWidth="1"/>
    <col min="20" max="20" width="13.57421875" style="1" bestFit="1" customWidth="1"/>
    <col min="21" max="22" width="9.140625" style="1" customWidth="1"/>
    <col min="23" max="23" width="13.57421875" style="1" bestFit="1" customWidth="1"/>
    <col min="24" max="16384" width="9.140625" style="1" customWidth="1"/>
  </cols>
  <sheetData>
    <row r="1" spans="1:23" ht="15">
      <c r="A1" s="162">
        <v>2017</v>
      </c>
      <c r="B1" s="162"/>
      <c r="C1" s="162"/>
      <c r="E1" s="162">
        <v>2019</v>
      </c>
      <c r="F1" s="162"/>
      <c r="H1" s="162">
        <v>2020</v>
      </c>
      <c r="I1" s="162"/>
      <c r="K1" s="162" t="s">
        <v>36</v>
      </c>
      <c r="L1" s="162"/>
      <c r="N1" s="162" t="s">
        <v>22</v>
      </c>
      <c r="O1" s="162"/>
      <c r="P1" s="6"/>
      <c r="S1" s="12" t="s">
        <v>26</v>
      </c>
      <c r="V1" s="12" t="s">
        <v>30</v>
      </c>
      <c r="W1" s="12" t="s">
        <v>56</v>
      </c>
    </row>
    <row r="2" spans="1:23" ht="15">
      <c r="A2" s="4" t="s">
        <v>0</v>
      </c>
      <c r="B2" s="4" t="s">
        <v>1</v>
      </c>
      <c r="C2" s="3" t="s">
        <v>1</v>
      </c>
      <c r="E2" s="4" t="s">
        <v>0</v>
      </c>
      <c r="F2" s="4" t="s">
        <v>1</v>
      </c>
      <c r="H2" s="4" t="s">
        <v>0</v>
      </c>
      <c r="I2" s="4" t="s">
        <v>1</v>
      </c>
      <c r="K2" s="4" t="s">
        <v>0</v>
      </c>
      <c r="L2" s="4" t="s">
        <v>1</v>
      </c>
      <c r="N2" s="4" t="s">
        <v>0</v>
      </c>
      <c r="O2" s="4" t="s">
        <v>1</v>
      </c>
      <c r="P2" s="6" t="s">
        <v>23</v>
      </c>
      <c r="R2" s="1">
        <v>2018</v>
      </c>
      <c r="S2" s="1">
        <v>5287</v>
      </c>
      <c r="U2" s="6">
        <v>2017</v>
      </c>
      <c r="V2" s="9">
        <v>10.753</v>
      </c>
      <c r="W2" s="9">
        <v>17.9459</v>
      </c>
    </row>
    <row r="3" spans="1:19" ht="15">
      <c r="A3" s="1" t="s">
        <v>21</v>
      </c>
      <c r="B3" s="1">
        <v>2.9121</v>
      </c>
      <c r="C3" s="1">
        <v>3.07</v>
      </c>
      <c r="E3" s="1" t="s">
        <v>21</v>
      </c>
      <c r="F3" s="1">
        <v>1.554</v>
      </c>
      <c r="H3" s="1" t="s">
        <v>21</v>
      </c>
      <c r="I3" s="1">
        <v>3.1086</v>
      </c>
      <c r="K3" s="1" t="s">
        <v>21</v>
      </c>
      <c r="L3" s="1">
        <v>3.09</v>
      </c>
      <c r="N3" s="1" t="str">
        <f>K3</f>
        <v>Ácido aspártico</v>
      </c>
      <c r="O3" s="5">
        <f>AVERAGE(B3,C3,F3,I3,L3)</f>
        <v>2.74694</v>
      </c>
      <c r="P3" s="5">
        <f>STDEV(B3,C3,F3,I3,L3,)</f>
        <v>1.2721089330975814</v>
      </c>
      <c r="R3" s="6">
        <v>2021</v>
      </c>
      <c r="S3" s="6">
        <v>5300</v>
      </c>
    </row>
    <row r="4" spans="1:19" ht="15">
      <c r="A4" s="1" t="s">
        <v>9</v>
      </c>
      <c r="B4" s="1">
        <v>6.7787</v>
      </c>
      <c r="C4" s="1">
        <v>6.57</v>
      </c>
      <c r="E4" s="1" t="s">
        <v>9</v>
      </c>
      <c r="F4" s="1">
        <v>7.566</v>
      </c>
      <c r="H4" s="1" t="s">
        <v>9</v>
      </c>
      <c r="I4" s="1">
        <v>7.3707</v>
      </c>
      <c r="K4" s="1" t="s">
        <v>9</v>
      </c>
      <c r="L4" s="1">
        <v>7.04</v>
      </c>
      <c r="N4" s="1" t="str">
        <f aca="true" t="shared" si="0" ref="N4:N21">K4</f>
        <v>Ácido glutâmico</v>
      </c>
      <c r="O4" s="5">
        <f aca="true" t="shared" si="1" ref="O4:O21">AVERAGE(B4,C4,F4,I4,L4)</f>
        <v>7.06508</v>
      </c>
      <c r="P4" s="5">
        <f aca="true" t="shared" si="2" ref="P4:P21">STDEV(B4,C4,F4,I4,L4,)</f>
        <v>2.907514424842405</v>
      </c>
      <c r="R4" s="13" t="s">
        <v>28</v>
      </c>
      <c r="S4" s="14">
        <f>AVERAGE(S2:S3)</f>
        <v>5293.5</v>
      </c>
    </row>
    <row r="5" spans="1:16" ht="15">
      <c r="A5" s="1" t="s">
        <v>7</v>
      </c>
      <c r="B5" s="1">
        <v>2.9722</v>
      </c>
      <c r="C5" s="1">
        <v>2.82</v>
      </c>
      <c r="E5" s="1" t="s">
        <v>7</v>
      </c>
      <c r="F5" s="1">
        <v>3.226</v>
      </c>
      <c r="H5" s="1" t="s">
        <v>7</v>
      </c>
      <c r="I5" s="1">
        <v>3.2065</v>
      </c>
      <c r="K5" s="1" t="s">
        <v>7</v>
      </c>
      <c r="L5" s="1">
        <v>2.96</v>
      </c>
      <c r="N5" s="1" t="str">
        <f t="shared" si="0"/>
        <v>Alanina</v>
      </c>
      <c r="O5" s="5">
        <f t="shared" si="1"/>
        <v>3.03694</v>
      </c>
      <c r="P5" s="5">
        <f t="shared" si="2"/>
        <v>1.249600368784624</v>
      </c>
    </row>
    <row r="6" spans="1:16" ht="15">
      <c r="A6" s="1" t="s">
        <v>10</v>
      </c>
      <c r="B6" s="1">
        <v>2.7823</v>
      </c>
      <c r="C6" s="1">
        <v>1.73</v>
      </c>
      <c r="E6" s="1" t="s">
        <v>10</v>
      </c>
      <c r="F6" s="1">
        <v>2.258</v>
      </c>
      <c r="H6" s="1" t="s">
        <v>10</v>
      </c>
      <c r="I6" s="1">
        <v>2.495</v>
      </c>
      <c r="K6" s="1" t="s">
        <v>10</v>
      </c>
      <c r="L6" s="1">
        <v>1.8</v>
      </c>
      <c r="N6" s="1" t="str">
        <f t="shared" si="0"/>
        <v>Arginina</v>
      </c>
      <c r="O6" s="5">
        <f t="shared" si="1"/>
        <v>2.21306</v>
      </c>
      <c r="P6" s="5">
        <f t="shared" si="2"/>
        <v>0.9890269569969602</v>
      </c>
    </row>
    <row r="7" spans="1:16" ht="15">
      <c r="A7" s="1" t="s">
        <v>6</v>
      </c>
      <c r="B7" s="1">
        <v>1.0325</v>
      </c>
      <c r="C7" s="1">
        <v>0.55</v>
      </c>
      <c r="E7" s="1" t="s">
        <v>6</v>
      </c>
      <c r="F7" s="1">
        <v>0.636</v>
      </c>
      <c r="H7" s="1" t="s">
        <v>6</v>
      </c>
      <c r="I7" s="1">
        <v>0.127</v>
      </c>
      <c r="K7" s="1" t="s">
        <v>6</v>
      </c>
      <c r="L7" s="1">
        <v>0.74</v>
      </c>
      <c r="N7" s="1" t="str">
        <f t="shared" si="0"/>
        <v>Cistina</v>
      </c>
      <c r="O7" s="5">
        <f t="shared" si="1"/>
        <v>0.6171000000000001</v>
      </c>
      <c r="P7" s="5">
        <f t="shared" si="2"/>
        <v>0.3873145685357058</v>
      </c>
    </row>
    <row r="8" spans="1:16" ht="15">
      <c r="A8" s="1" t="s">
        <v>11</v>
      </c>
      <c r="B8" s="1">
        <v>2.0874</v>
      </c>
      <c r="C8" s="1">
        <v>2.42</v>
      </c>
      <c r="E8" s="1" t="s">
        <v>11</v>
      </c>
      <c r="F8" s="1">
        <v>1.979</v>
      </c>
      <c r="H8" s="1" t="s">
        <v>11</v>
      </c>
      <c r="I8" s="1">
        <v>2.0488</v>
      </c>
      <c r="K8" s="1" t="s">
        <v>11</v>
      </c>
      <c r="L8" s="1">
        <v>1.95</v>
      </c>
      <c r="N8" s="1" t="str">
        <f t="shared" si="0"/>
        <v>Fenilalanina</v>
      </c>
      <c r="O8" s="5">
        <f t="shared" si="1"/>
        <v>2.09704</v>
      </c>
      <c r="P8" s="5">
        <f t="shared" si="2"/>
        <v>0.8725737439704837</v>
      </c>
    </row>
    <row r="9" spans="1:16" ht="15">
      <c r="A9" s="1" t="s">
        <v>12</v>
      </c>
      <c r="B9" s="1">
        <v>1.8539</v>
      </c>
      <c r="C9" s="1">
        <v>1.57</v>
      </c>
      <c r="E9" s="1" t="s">
        <v>12</v>
      </c>
      <c r="F9" s="1">
        <v>1.646</v>
      </c>
      <c r="H9" s="1" t="s">
        <v>12</v>
      </c>
      <c r="I9" s="1">
        <v>1.8219</v>
      </c>
      <c r="K9" s="1" t="s">
        <v>12</v>
      </c>
      <c r="L9" s="1">
        <v>1.7</v>
      </c>
      <c r="N9" s="1" t="str">
        <f t="shared" si="0"/>
        <v>Glicina</v>
      </c>
      <c r="O9" s="5">
        <f t="shared" si="1"/>
        <v>1.71836</v>
      </c>
      <c r="P9" s="5">
        <f t="shared" si="2"/>
        <v>0.7095505074810857</v>
      </c>
    </row>
    <row r="10" spans="1:16" ht="15">
      <c r="A10" s="1" t="s">
        <v>13</v>
      </c>
      <c r="B10" s="1">
        <v>1.7759</v>
      </c>
      <c r="C10" s="1">
        <v>1.23</v>
      </c>
      <c r="E10" s="1" t="s">
        <v>13</v>
      </c>
      <c r="F10" s="1">
        <v>1.771</v>
      </c>
      <c r="H10" s="1" t="s">
        <v>13</v>
      </c>
      <c r="I10" s="1">
        <v>1.5897</v>
      </c>
      <c r="K10" s="1" t="s">
        <v>13</v>
      </c>
      <c r="L10" s="1">
        <v>1.04</v>
      </c>
      <c r="N10" s="1" t="str">
        <f t="shared" si="0"/>
        <v>Histidina</v>
      </c>
      <c r="O10" s="5">
        <f t="shared" si="1"/>
        <v>1.4813199999999997</v>
      </c>
      <c r="P10" s="5">
        <f t="shared" si="2"/>
        <v>0.6736399592264897</v>
      </c>
    </row>
    <row r="11" spans="1:16" ht="15">
      <c r="A11" s="1" t="s">
        <v>2</v>
      </c>
      <c r="B11" s="1">
        <v>1.5927</v>
      </c>
      <c r="C11" s="1">
        <v>0.63</v>
      </c>
      <c r="E11" s="1" t="s">
        <v>2</v>
      </c>
      <c r="F11" s="1">
        <v>1.557</v>
      </c>
      <c r="H11" s="1" t="s">
        <v>2</v>
      </c>
      <c r="I11" s="1">
        <v>1.699</v>
      </c>
      <c r="K11" s="1" t="s">
        <v>2</v>
      </c>
      <c r="L11" s="1">
        <v>1.37</v>
      </c>
      <c r="N11" s="1" t="str">
        <f t="shared" si="0"/>
        <v>Isoleucina</v>
      </c>
      <c r="O11" s="5">
        <f t="shared" si="1"/>
        <v>1.36974</v>
      </c>
      <c r="P11" s="5">
        <f t="shared" si="2"/>
        <v>0.6788069939238989</v>
      </c>
    </row>
    <row r="12" spans="1:16" ht="15">
      <c r="A12" s="1" t="s">
        <v>3</v>
      </c>
      <c r="B12" s="1">
        <v>4.7594</v>
      </c>
      <c r="C12" s="1">
        <v>3.33</v>
      </c>
      <c r="E12" s="1" t="s">
        <v>3</v>
      </c>
      <c r="F12" s="1">
        <v>4.92</v>
      </c>
      <c r="H12" s="1" t="s">
        <v>3</v>
      </c>
      <c r="I12" s="1">
        <v>5.05</v>
      </c>
      <c r="K12" s="1" t="s">
        <v>3</v>
      </c>
      <c r="L12" s="1">
        <v>4.63</v>
      </c>
      <c r="N12" s="1" t="str">
        <f t="shared" si="0"/>
        <v>Leucina</v>
      </c>
      <c r="O12" s="5">
        <f t="shared" si="1"/>
        <v>4.5378799999999995</v>
      </c>
      <c r="P12" s="5">
        <f t="shared" si="2"/>
        <v>1.953720022589384</v>
      </c>
    </row>
    <row r="13" spans="1:16" ht="15">
      <c r="A13" s="1" t="s">
        <v>14</v>
      </c>
      <c r="B13" s="1">
        <v>2.2602</v>
      </c>
      <c r="C13" s="1">
        <v>2.66</v>
      </c>
      <c r="E13" s="1" t="s">
        <v>14</v>
      </c>
      <c r="F13" s="1">
        <v>1.795</v>
      </c>
      <c r="H13" s="1" t="s">
        <v>14</v>
      </c>
      <c r="I13" s="1">
        <v>1.9739</v>
      </c>
      <c r="K13" s="1" t="s">
        <v>14</v>
      </c>
      <c r="L13" s="1">
        <v>1.31</v>
      </c>
      <c r="N13" s="1" t="str">
        <f t="shared" si="0"/>
        <v>Lisina</v>
      </c>
      <c r="O13" s="5">
        <f t="shared" si="1"/>
        <v>1.9998200000000002</v>
      </c>
      <c r="P13" s="5">
        <f t="shared" si="2"/>
        <v>0.9332570330121637</v>
      </c>
    </row>
    <row r="14" spans="1:16" ht="15">
      <c r="A14" s="1" t="s">
        <v>15</v>
      </c>
      <c r="B14" s="1">
        <v>0.5313</v>
      </c>
      <c r="C14" s="1">
        <v>0.58</v>
      </c>
      <c r="E14" s="1" t="s">
        <v>15</v>
      </c>
      <c r="F14" s="1">
        <v>0.559</v>
      </c>
      <c r="H14" s="1" t="s">
        <v>15</v>
      </c>
      <c r="I14" s="1">
        <v>0.7767</v>
      </c>
      <c r="K14" s="1" t="s">
        <v>15</v>
      </c>
      <c r="L14" s="1">
        <v>0.74</v>
      </c>
      <c r="N14" s="1" t="str">
        <f t="shared" si="0"/>
        <v>Metionina</v>
      </c>
      <c r="O14" s="5">
        <f t="shared" si="1"/>
        <v>0.6374000000000001</v>
      </c>
      <c r="P14" s="5">
        <f t="shared" si="2"/>
        <v>0.27899656389759825</v>
      </c>
    </row>
    <row r="15" spans="1:16" ht="15">
      <c r="A15" s="1" t="s">
        <v>4</v>
      </c>
      <c r="B15" s="1">
        <v>3.358</v>
      </c>
      <c r="C15" s="1">
        <v>3.18</v>
      </c>
      <c r="E15" s="1" t="s">
        <v>4</v>
      </c>
      <c r="F15" s="1">
        <v>3.648</v>
      </c>
      <c r="H15" s="1" t="s">
        <v>4</v>
      </c>
      <c r="I15" s="1">
        <v>3.6817</v>
      </c>
      <c r="K15" s="1" t="s">
        <v>4</v>
      </c>
      <c r="L15" s="1">
        <v>3.39</v>
      </c>
      <c r="N15" s="1" t="str">
        <f t="shared" si="0"/>
        <v>Prolina</v>
      </c>
      <c r="O15" s="5">
        <f t="shared" si="1"/>
        <v>3.45154</v>
      </c>
      <c r="P15" s="5">
        <f t="shared" si="2"/>
        <v>1.4216503092064048</v>
      </c>
    </row>
    <row r="16" spans="1:16" ht="15">
      <c r="A16" s="1" t="s">
        <v>16</v>
      </c>
      <c r="B16" s="1">
        <v>2.1212</v>
      </c>
      <c r="C16" s="1">
        <v>2.72</v>
      </c>
      <c r="E16" s="1" t="s">
        <v>16</v>
      </c>
      <c r="F16" s="1">
        <v>2.159</v>
      </c>
      <c r="H16" s="1" t="s">
        <v>16</v>
      </c>
      <c r="I16" s="1">
        <v>2.2196</v>
      </c>
      <c r="K16" s="1" t="s">
        <v>16</v>
      </c>
      <c r="L16" s="1">
        <v>2.2</v>
      </c>
      <c r="N16" s="1" t="str">
        <f t="shared" si="0"/>
        <v>Serina</v>
      </c>
      <c r="O16" s="5">
        <f t="shared" si="1"/>
        <v>2.2839599999999995</v>
      </c>
      <c r="P16" s="5">
        <f t="shared" si="2"/>
        <v>0.9581742284156887</v>
      </c>
    </row>
    <row r="17" spans="1:16" ht="15">
      <c r="A17" s="1" t="s">
        <v>17</v>
      </c>
      <c r="B17" s="1">
        <v>0.0387</v>
      </c>
      <c r="C17" s="1">
        <v>0</v>
      </c>
      <c r="E17" s="1" t="s">
        <v>17</v>
      </c>
      <c r="F17" s="1">
        <v>0</v>
      </c>
      <c r="H17" s="1" t="s">
        <v>17</v>
      </c>
      <c r="I17" s="1">
        <v>0</v>
      </c>
      <c r="K17" s="1" t="s">
        <v>17</v>
      </c>
      <c r="L17" s="1">
        <v>0</v>
      </c>
      <c r="N17" s="1" t="str">
        <f t="shared" si="0"/>
        <v>Taurina</v>
      </c>
      <c r="O17" s="5">
        <f t="shared" si="1"/>
        <v>0.0077399999999999995</v>
      </c>
      <c r="P17" s="5">
        <f t="shared" si="2"/>
        <v>0.015799208840951498</v>
      </c>
    </row>
    <row r="18" spans="1:16" ht="15">
      <c r="A18" s="1" t="s">
        <v>18</v>
      </c>
      <c r="B18" s="1">
        <v>1.5728</v>
      </c>
      <c r="C18" s="1">
        <v>1.31</v>
      </c>
      <c r="E18" s="1" t="s">
        <v>18</v>
      </c>
      <c r="F18" s="1">
        <v>1.609</v>
      </c>
      <c r="H18" s="1" t="s">
        <v>18</v>
      </c>
      <c r="I18" s="1">
        <v>1.79</v>
      </c>
      <c r="K18" s="1" t="s">
        <v>18</v>
      </c>
      <c r="L18" s="1">
        <v>1.69</v>
      </c>
      <c r="N18" s="1" t="str">
        <f t="shared" si="0"/>
        <v>Tirosina</v>
      </c>
      <c r="O18" s="5">
        <f t="shared" si="1"/>
        <v>1.59436</v>
      </c>
      <c r="P18" s="5">
        <f t="shared" si="2"/>
        <v>0.6704150406029586</v>
      </c>
    </row>
    <row r="19" spans="1:16" ht="15">
      <c r="A19" s="1" t="s">
        <v>19</v>
      </c>
      <c r="B19" s="1">
        <v>1.6528</v>
      </c>
      <c r="C19" s="1">
        <v>1.55</v>
      </c>
      <c r="E19" s="1" t="s">
        <v>19</v>
      </c>
      <c r="F19" s="1">
        <v>1.584</v>
      </c>
      <c r="H19" s="1" t="s">
        <v>19</v>
      </c>
      <c r="I19" s="1">
        <v>1.6726</v>
      </c>
      <c r="K19" s="1" t="s">
        <v>19</v>
      </c>
      <c r="L19" s="1">
        <v>1.5</v>
      </c>
      <c r="N19" s="1" t="str">
        <f t="shared" si="0"/>
        <v>Treonina</v>
      </c>
      <c r="O19" s="5">
        <f t="shared" si="1"/>
        <v>1.59188</v>
      </c>
      <c r="P19" s="5">
        <f t="shared" si="2"/>
        <v>0.6530267794406804</v>
      </c>
    </row>
    <row r="20" spans="1:16" ht="15">
      <c r="A20" s="1" t="s">
        <v>5</v>
      </c>
      <c r="B20" s="1">
        <v>1.0095</v>
      </c>
      <c r="C20" s="1">
        <v>2.52</v>
      </c>
      <c r="E20" s="1" t="s">
        <v>5</v>
      </c>
      <c r="F20" s="1">
        <v>0.206</v>
      </c>
      <c r="H20" s="1" t="s">
        <v>5</v>
      </c>
      <c r="I20" s="1">
        <v>0</v>
      </c>
      <c r="K20" s="1" t="s">
        <v>5</v>
      </c>
      <c r="L20" s="1">
        <v>0.19</v>
      </c>
      <c r="N20" s="1" t="str">
        <f t="shared" si="0"/>
        <v>Triptofano</v>
      </c>
      <c r="O20" s="5">
        <f t="shared" si="1"/>
        <v>0.7851</v>
      </c>
      <c r="P20" s="5">
        <f t="shared" si="2"/>
        <v>0.9879036263725324</v>
      </c>
    </row>
    <row r="21" spans="1:16" ht="15">
      <c r="A21" s="1" t="s">
        <v>20</v>
      </c>
      <c r="B21" s="1">
        <v>2.2003</v>
      </c>
      <c r="C21" s="1">
        <v>2.07</v>
      </c>
      <c r="E21" s="1" t="s">
        <v>20</v>
      </c>
      <c r="F21" s="1">
        <v>1.996</v>
      </c>
      <c r="H21" s="1" t="s">
        <v>20</v>
      </c>
      <c r="I21" s="1">
        <v>2.1491</v>
      </c>
      <c r="K21" s="1" t="s">
        <v>20</v>
      </c>
      <c r="L21" s="1">
        <v>1.82</v>
      </c>
      <c r="N21" s="1" t="str">
        <f t="shared" si="0"/>
        <v>Valina</v>
      </c>
      <c r="O21" s="5">
        <f t="shared" si="1"/>
        <v>2.04708</v>
      </c>
      <c r="P21" s="5">
        <f t="shared" si="2"/>
        <v>0.8462503223042228</v>
      </c>
    </row>
  </sheetData>
  <mergeCells count="5">
    <mergeCell ref="E1:F1"/>
    <mergeCell ref="H1:I1"/>
    <mergeCell ref="K1:L1"/>
    <mergeCell ref="N1:O1"/>
    <mergeCell ref="A1:C1"/>
  </mergeCells>
  <printOptions/>
  <pageMargins left="0.511811024" right="0.511811024" top="0.787401575" bottom="0.787401575" header="0.31496062" footer="0.3149606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20"/>
  <sheetViews>
    <sheetView workbookViewId="0" topLeftCell="A1">
      <selection activeCell="H4" sqref="H4"/>
    </sheetView>
  </sheetViews>
  <sheetFormatPr defaultColWidth="9.140625" defaultRowHeight="15"/>
  <cols>
    <col min="1" max="1" width="18.140625" style="1" bestFit="1" customWidth="1"/>
    <col min="2" max="3" width="9.140625" style="1" customWidth="1"/>
    <col min="4" max="5" width="12.7109375" style="1" bestFit="1" customWidth="1"/>
    <col min="6" max="8" width="9.140625" style="1" customWidth="1"/>
    <col min="9" max="9" width="19.140625" style="1" bestFit="1" customWidth="1"/>
    <col min="10" max="11" width="9.140625" style="1" customWidth="1"/>
    <col min="12" max="12" width="13.7109375" style="1" bestFit="1" customWidth="1"/>
    <col min="13" max="13" width="11.421875" style="1" bestFit="1" customWidth="1"/>
    <col min="14" max="16384" width="9.140625" style="1" customWidth="1"/>
  </cols>
  <sheetData>
    <row r="1" spans="1:14" ht="15">
      <c r="A1" s="162">
        <v>2019</v>
      </c>
      <c r="B1" s="162"/>
      <c r="E1" s="12" t="s">
        <v>26</v>
      </c>
      <c r="H1" s="12" t="s">
        <v>30</v>
      </c>
      <c r="I1" s="12" t="s">
        <v>56</v>
      </c>
      <c r="L1" s="224" t="s">
        <v>50</v>
      </c>
      <c r="M1" s="224"/>
      <c r="N1" s="224"/>
    </row>
    <row r="2" spans="1:14" ht="15">
      <c r="A2" s="7" t="s">
        <v>0</v>
      </c>
      <c r="B2" s="7" t="s">
        <v>1</v>
      </c>
      <c r="D2" s="6">
        <v>2019</v>
      </c>
      <c r="E2" s="6">
        <v>3825</v>
      </c>
      <c r="G2" s="6" t="s">
        <v>54</v>
      </c>
      <c r="H2" s="9">
        <f>N17*0.1087</f>
        <v>2.2516428571428575</v>
      </c>
      <c r="I2" s="9">
        <f>N17*0.23</f>
        <v>4.764285714285715</v>
      </c>
      <c r="L2" s="7" t="s">
        <v>51</v>
      </c>
      <c r="M2" s="7" t="s">
        <v>52</v>
      </c>
      <c r="N2" s="7" t="s">
        <v>53</v>
      </c>
    </row>
    <row r="3" spans="1:14" ht="15">
      <c r="A3" s="1" t="s">
        <v>21</v>
      </c>
      <c r="B3" s="1">
        <v>2.61</v>
      </c>
      <c r="L3" s="1" t="s">
        <v>37</v>
      </c>
      <c r="M3" s="1">
        <v>75</v>
      </c>
      <c r="N3" s="1">
        <v>25</v>
      </c>
    </row>
    <row r="4" spans="1:14" ht="15">
      <c r="A4" s="1" t="s">
        <v>9</v>
      </c>
      <c r="B4" s="1">
        <v>4.46</v>
      </c>
      <c r="E4" s="12" t="s">
        <v>66</v>
      </c>
      <c r="L4" s="1" t="s">
        <v>38</v>
      </c>
      <c r="M4" s="1">
        <v>72</v>
      </c>
      <c r="N4" s="1">
        <v>28</v>
      </c>
    </row>
    <row r="5" spans="1:14" ht="15">
      <c r="A5" s="1" t="s">
        <v>7</v>
      </c>
      <c r="B5" s="1">
        <v>1.9</v>
      </c>
      <c r="D5" s="17">
        <v>2019</v>
      </c>
      <c r="E5" s="17">
        <v>54.72</v>
      </c>
      <c r="L5" s="1" t="s">
        <v>39</v>
      </c>
      <c r="M5" s="1">
        <v>70</v>
      </c>
      <c r="N5" s="1">
        <v>30</v>
      </c>
    </row>
    <row r="6" spans="1:14" ht="15">
      <c r="A6" s="1" t="s">
        <v>10</v>
      </c>
      <c r="B6" s="1">
        <v>2.16</v>
      </c>
      <c r="D6" s="1">
        <v>2019</v>
      </c>
      <c r="E6" s="1">
        <v>57.08</v>
      </c>
      <c r="L6" s="1" t="s">
        <v>40</v>
      </c>
      <c r="M6" s="1">
        <v>70</v>
      </c>
      <c r="N6" s="1">
        <v>30</v>
      </c>
    </row>
    <row r="7" spans="1:14" ht="15">
      <c r="A7" s="1" t="s">
        <v>6</v>
      </c>
      <c r="B7" s="1">
        <v>0.31</v>
      </c>
      <c r="D7" s="6">
        <v>2020</v>
      </c>
      <c r="E7" s="6">
        <v>57.86</v>
      </c>
      <c r="L7" s="1" t="s">
        <v>40</v>
      </c>
      <c r="M7" s="1">
        <v>70</v>
      </c>
      <c r="N7" s="1">
        <v>30</v>
      </c>
    </row>
    <row r="8" spans="1:14" ht="15">
      <c r="A8" s="1" t="s">
        <v>11</v>
      </c>
      <c r="B8" s="1">
        <v>0.87</v>
      </c>
      <c r="D8" s="1" t="s">
        <v>28</v>
      </c>
      <c r="E8" s="5">
        <f>AVERAGE(E5:E7)</f>
        <v>56.553333333333335</v>
      </c>
      <c r="L8" s="1" t="s">
        <v>41</v>
      </c>
      <c r="M8" s="1">
        <v>82</v>
      </c>
      <c r="N8" s="1">
        <v>18</v>
      </c>
    </row>
    <row r="9" spans="1:14" ht="15">
      <c r="A9" s="1" t="s">
        <v>12</v>
      </c>
      <c r="B9" s="1">
        <v>2.38</v>
      </c>
      <c r="L9" s="1" t="s">
        <v>42</v>
      </c>
      <c r="M9" s="1">
        <v>90</v>
      </c>
      <c r="N9" s="1">
        <v>10</v>
      </c>
    </row>
    <row r="10" spans="1:14" ht="15">
      <c r="A10" s="1" t="s">
        <v>13</v>
      </c>
      <c r="B10" s="1">
        <v>0.53</v>
      </c>
      <c r="L10" s="1" t="s">
        <v>43</v>
      </c>
      <c r="M10" s="1">
        <v>90</v>
      </c>
      <c r="N10" s="1">
        <v>10</v>
      </c>
    </row>
    <row r="11" spans="1:14" ht="15">
      <c r="A11" s="1" t="s">
        <v>2</v>
      </c>
      <c r="B11" s="1">
        <v>0.97</v>
      </c>
      <c r="L11" s="1" t="s">
        <v>44</v>
      </c>
      <c r="M11" s="1">
        <v>90</v>
      </c>
      <c r="N11" s="1">
        <v>10</v>
      </c>
    </row>
    <row r="12" spans="1:14" ht="15">
      <c r="A12" s="1" t="s">
        <v>3</v>
      </c>
      <c r="B12" s="1">
        <v>1.44</v>
      </c>
      <c r="L12" s="1" t="s">
        <v>45</v>
      </c>
      <c r="M12" s="1">
        <v>78</v>
      </c>
      <c r="N12" s="1">
        <v>22</v>
      </c>
    </row>
    <row r="13" spans="1:14" ht="15">
      <c r="A13" s="1" t="s">
        <v>24</v>
      </c>
      <c r="B13" s="1">
        <v>1.53</v>
      </c>
      <c r="L13" s="1" t="s">
        <v>46</v>
      </c>
      <c r="M13" s="1">
        <v>78</v>
      </c>
      <c r="N13" s="1">
        <v>22</v>
      </c>
    </row>
    <row r="14" spans="1:14" ht="15">
      <c r="A14" s="1" t="s">
        <v>15</v>
      </c>
      <c r="B14" s="1">
        <v>0.2</v>
      </c>
      <c r="L14" s="1" t="s">
        <v>47</v>
      </c>
      <c r="M14" s="1">
        <v>85</v>
      </c>
      <c r="N14" s="1">
        <v>15</v>
      </c>
    </row>
    <row r="15" spans="1:14" ht="15">
      <c r="A15" s="1" t="s">
        <v>4</v>
      </c>
      <c r="B15" s="1">
        <v>0.81</v>
      </c>
      <c r="L15" s="1" t="s">
        <v>48</v>
      </c>
      <c r="M15" s="1">
        <v>85</v>
      </c>
      <c r="N15" s="1">
        <v>15</v>
      </c>
    </row>
    <row r="16" spans="1:14" ht="15">
      <c r="A16" s="1" t="s">
        <v>16</v>
      </c>
      <c r="B16" s="1">
        <v>1.2</v>
      </c>
      <c r="L16" s="6" t="s">
        <v>49</v>
      </c>
      <c r="M16" s="6">
        <v>75</v>
      </c>
      <c r="N16" s="6">
        <v>25</v>
      </c>
    </row>
    <row r="17" spans="1:14" ht="15">
      <c r="A17" s="1" t="s">
        <v>17</v>
      </c>
      <c r="B17" s="1">
        <v>0</v>
      </c>
      <c r="L17" s="1" t="s">
        <v>28</v>
      </c>
      <c r="M17" s="5">
        <f>AVERAGE(M3:M16)</f>
        <v>79.28571428571429</v>
      </c>
      <c r="N17" s="5">
        <f>AVERAGE(N3:N16)</f>
        <v>20.714285714285715</v>
      </c>
    </row>
    <row r="18" spans="1:14" ht="15">
      <c r="A18" s="1" t="s">
        <v>18</v>
      </c>
      <c r="B18" s="1">
        <v>0.7</v>
      </c>
      <c r="L18" s="1" t="s">
        <v>23</v>
      </c>
      <c r="M18" s="5">
        <f>STDEV(M3:M16)</f>
        <v>7.690439333539868</v>
      </c>
      <c r="N18" s="5">
        <f>STDEV(N3:N16)</f>
        <v>7.69043933353987</v>
      </c>
    </row>
    <row r="19" spans="1:2" ht="15">
      <c r="A19" s="1" t="s">
        <v>19</v>
      </c>
      <c r="B19" s="1">
        <v>1.29</v>
      </c>
    </row>
    <row r="20" spans="1:2" ht="15">
      <c r="A20" s="1" t="s">
        <v>20</v>
      </c>
      <c r="B20" s="1">
        <v>1.16</v>
      </c>
    </row>
  </sheetData>
  <mergeCells count="2">
    <mergeCell ref="A1:B1"/>
    <mergeCell ref="L1:N1"/>
  </mergeCells>
  <printOptions/>
  <pageMargins left="0.511811024" right="0.511811024" top="0.787401575" bottom="0.787401575" header="0.31496062" footer="0.31496062"/>
  <pageSetup horizontalDpi="600" verticalDpi="6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 topLeftCell="A1">
      <selection activeCell="C10" sqref="C10"/>
    </sheetView>
  </sheetViews>
  <sheetFormatPr defaultColWidth="9.140625" defaultRowHeight="15"/>
  <cols>
    <col min="1" max="1" width="9.140625" style="1" customWidth="1"/>
    <col min="2" max="3" width="16.28125" style="1" bestFit="1" customWidth="1"/>
    <col min="4" max="4" width="14.421875" style="1" bestFit="1" customWidth="1"/>
    <col min="5" max="16384" width="9.140625" style="1" customWidth="1"/>
  </cols>
  <sheetData>
    <row r="1" spans="1:3" ht="15">
      <c r="A1" s="6" t="s">
        <v>81</v>
      </c>
      <c r="B1" s="26" t="s">
        <v>30</v>
      </c>
      <c r="C1" s="26" t="s">
        <v>55</v>
      </c>
    </row>
    <row r="2" spans="1:3" ht="15">
      <c r="A2" s="1">
        <v>2016</v>
      </c>
      <c r="B2" s="21">
        <v>14.03</v>
      </c>
      <c r="C2" s="21">
        <v>30.47</v>
      </c>
    </row>
    <row r="3" spans="1:3" ht="15">
      <c r="A3" s="1">
        <v>2017</v>
      </c>
      <c r="B3" s="17">
        <v>13.92</v>
      </c>
      <c r="C3" s="17">
        <v>32.76</v>
      </c>
    </row>
    <row r="4" spans="1:3" ht="15">
      <c r="A4" s="1">
        <v>2017</v>
      </c>
      <c r="B4" s="1">
        <v>12.36</v>
      </c>
      <c r="C4" s="1">
        <v>37.58</v>
      </c>
    </row>
    <row r="5" spans="1:3" ht="15">
      <c r="A5" s="1">
        <v>2019</v>
      </c>
      <c r="B5" s="1">
        <v>14.15</v>
      </c>
      <c r="C5" s="1">
        <v>33.21</v>
      </c>
    </row>
    <row r="6" spans="1:4" ht="15">
      <c r="A6" s="1">
        <v>2019</v>
      </c>
      <c r="B6" s="16">
        <v>15.97</v>
      </c>
      <c r="C6" s="16">
        <v>26.69</v>
      </c>
      <c r="D6" s="14" t="s">
        <v>80</v>
      </c>
    </row>
    <row r="7" spans="1:4" ht="15">
      <c r="A7" s="1">
        <v>2019</v>
      </c>
      <c r="B7" s="16">
        <v>16.09</v>
      </c>
      <c r="C7" s="16">
        <v>28.78</v>
      </c>
      <c r="D7" s="14" t="s">
        <v>80</v>
      </c>
    </row>
    <row r="8" spans="1:3" ht="15">
      <c r="A8" s="1">
        <v>2019</v>
      </c>
      <c r="B8" s="1">
        <v>12.33</v>
      </c>
      <c r="C8" s="1">
        <v>30.65</v>
      </c>
    </row>
    <row r="9" spans="1:4" ht="15">
      <c r="A9" s="6">
        <v>2020</v>
      </c>
      <c r="B9" s="22">
        <v>15.73</v>
      </c>
      <c r="C9" s="22">
        <v>25.93</v>
      </c>
      <c r="D9" s="14" t="s">
        <v>80</v>
      </c>
    </row>
    <row r="10" spans="2:3" ht="15">
      <c r="B10" s="5">
        <f>AVERAGE(B2:B5,B8)</f>
        <v>13.358</v>
      </c>
      <c r="C10" s="5">
        <f>AVERAGE(C2:C5,C8)</f>
        <v>32.934000000000005</v>
      </c>
    </row>
  </sheetData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Mariana Quintino do Nascimento</dc:creator>
  <cp:keywords/>
  <dc:description/>
  <cp:lastModifiedBy>Bruno Agulhari</cp:lastModifiedBy>
  <dcterms:created xsi:type="dcterms:W3CDTF">2021-03-04T01:03:23Z</dcterms:created>
  <dcterms:modified xsi:type="dcterms:W3CDTF">2021-04-03T20:44:29Z</dcterms:modified>
  <cp:category/>
  <cp:version/>
  <cp:contentType/>
  <cp:contentStatus/>
</cp:coreProperties>
</file>